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9285" activeTab="1"/>
  </bookViews>
  <sheets>
    <sheet name="1-loop" sheetId="6" r:id="rId1"/>
    <sheet name="2-loop" sheetId="5" r:id="rId2"/>
    <sheet name="2-loop (1-real+1-pseudo)" sheetId="7" r:id="rId3"/>
    <sheet name="2-loop-by iterations" sheetId="8" r:id="rId4"/>
  </sheets>
  <definedNames>
    <definedName name="solver_adj" localSheetId="1" hidden="1">'2-loop'!$L$3:$L$4</definedName>
    <definedName name="solver_adj" localSheetId="2" hidden="1">'2-loop (1-real+1-pseudo)'!$L$3:$L$4</definedName>
    <definedName name="solver_adj" localSheetId="3" hidden="1">'2-loop-by iterations'!$O$74:$O$75</definedName>
    <definedName name="solver_cvg" localSheetId="1" hidden="1">0.0001</definedName>
    <definedName name="solver_cvg" localSheetId="2" hidden="1">0.0001</definedName>
    <definedName name="solver_cvg" localSheetId="3" hidden="1">0.0001</definedName>
    <definedName name="solver_drv" localSheetId="1" hidden="1">2</definedName>
    <definedName name="solver_drv" localSheetId="2" hidden="1">2</definedName>
    <definedName name="solver_drv" localSheetId="3" hidden="1">2</definedName>
    <definedName name="solver_eng" localSheetId="1" hidden="1">1</definedName>
    <definedName name="solver_eng" localSheetId="2" hidden="1">1</definedName>
    <definedName name="solver_eng" localSheetId="3" hidden="1">1</definedName>
    <definedName name="solver_est" localSheetId="1" hidden="1">1</definedName>
    <definedName name="solver_est" localSheetId="2" hidden="1">1</definedName>
    <definedName name="solver_est" localSheetId="3" hidden="1">1</definedName>
    <definedName name="solver_itr" localSheetId="1" hidden="1">2147483647</definedName>
    <definedName name="solver_itr" localSheetId="2" hidden="1">2147483647</definedName>
    <definedName name="solver_itr" localSheetId="3" hidden="1">2147483647</definedName>
    <definedName name="solver_mip" localSheetId="1" hidden="1">2147483647</definedName>
    <definedName name="solver_mip" localSheetId="2" hidden="1">2147483647</definedName>
    <definedName name="solver_mip" localSheetId="3" hidden="1">2147483647</definedName>
    <definedName name="solver_mni" localSheetId="1" hidden="1">30</definedName>
    <definedName name="solver_mni" localSheetId="2" hidden="1">30</definedName>
    <definedName name="solver_mni" localSheetId="3" hidden="1">30</definedName>
    <definedName name="solver_mrt" localSheetId="1" hidden="1">0.075</definedName>
    <definedName name="solver_mrt" localSheetId="2" hidden="1">0.075</definedName>
    <definedName name="solver_mrt" localSheetId="3" hidden="1">0.075</definedName>
    <definedName name="solver_msl" localSheetId="1" hidden="1">2</definedName>
    <definedName name="solver_msl" localSheetId="2" hidden="1">2</definedName>
    <definedName name="solver_msl" localSheetId="3" hidden="1">2</definedName>
    <definedName name="solver_neg" localSheetId="1" hidden="1">2</definedName>
    <definedName name="solver_neg" localSheetId="2" hidden="1">2</definedName>
    <definedName name="solver_neg" localSheetId="3" hidden="1">2</definedName>
    <definedName name="solver_nod" localSheetId="1" hidden="1">2147483647</definedName>
    <definedName name="solver_nod" localSheetId="2" hidden="1">2147483647</definedName>
    <definedName name="solver_nod" localSheetId="3" hidden="1">2147483647</definedName>
    <definedName name="solver_num" localSheetId="1" hidden="1">0</definedName>
    <definedName name="solver_num" localSheetId="2" hidden="1">0</definedName>
    <definedName name="solver_num" localSheetId="3" hidden="1">0</definedName>
    <definedName name="solver_nwt" localSheetId="1" hidden="1">1</definedName>
    <definedName name="solver_nwt" localSheetId="2" hidden="1">1</definedName>
    <definedName name="solver_nwt" localSheetId="3" hidden="1">1</definedName>
    <definedName name="solver_opt" localSheetId="1" hidden="1">'2-loop'!$P$21</definedName>
    <definedName name="solver_opt" localSheetId="2" hidden="1">'2-loop (1-real+1-pseudo)'!$P$21</definedName>
    <definedName name="solver_opt" localSheetId="3" hidden="1">'2-loop-by iterations'!$Q$77</definedName>
    <definedName name="solver_pre" localSheetId="1" hidden="1">0.00000000001</definedName>
    <definedName name="solver_pre" localSheetId="2" hidden="1">0.00000000001</definedName>
    <definedName name="solver_pre" localSheetId="3" hidden="1">0.00000000001</definedName>
    <definedName name="solver_rbv" localSheetId="1" hidden="1">2</definedName>
    <definedName name="solver_rbv" localSheetId="2" hidden="1">2</definedName>
    <definedName name="solver_rbv" localSheetId="3" hidden="1">2</definedName>
    <definedName name="solver_rlx" localSheetId="1" hidden="1">2</definedName>
    <definedName name="solver_rlx" localSheetId="2" hidden="1">2</definedName>
    <definedName name="solver_rlx" localSheetId="3" hidden="1">2</definedName>
    <definedName name="solver_rsd" localSheetId="1" hidden="1">0</definedName>
    <definedName name="solver_rsd" localSheetId="2" hidden="1">0</definedName>
    <definedName name="solver_rsd" localSheetId="3" hidden="1">0</definedName>
    <definedName name="solver_scl" localSheetId="1" hidden="1">2</definedName>
    <definedName name="solver_scl" localSheetId="2" hidden="1">2</definedName>
    <definedName name="solver_scl" localSheetId="3" hidden="1">2</definedName>
    <definedName name="solver_sho" localSheetId="1" hidden="1">2</definedName>
    <definedName name="solver_sho" localSheetId="2" hidden="1">2</definedName>
    <definedName name="solver_sho" localSheetId="3" hidden="1">2</definedName>
    <definedName name="solver_ssz" localSheetId="1" hidden="1">100</definedName>
    <definedName name="solver_ssz" localSheetId="2" hidden="1">100</definedName>
    <definedName name="solver_ssz" localSheetId="3" hidden="1">100</definedName>
    <definedName name="solver_tim" localSheetId="1" hidden="1">2147483647</definedName>
    <definedName name="solver_tim" localSheetId="2" hidden="1">2147483647</definedName>
    <definedName name="solver_tim" localSheetId="3" hidden="1">2147483647</definedName>
    <definedName name="solver_tol" localSheetId="1" hidden="1">0.01</definedName>
    <definedName name="solver_tol" localSheetId="2" hidden="1">0.01</definedName>
    <definedName name="solver_tol" localSheetId="3" hidden="1">0.01</definedName>
    <definedName name="solver_typ" localSheetId="1" hidden="1">2</definedName>
    <definedName name="solver_typ" localSheetId="2" hidden="1">2</definedName>
    <definedName name="solver_typ" localSheetId="3" hidden="1">2</definedName>
    <definedName name="solver_val" localSheetId="1" hidden="1">0</definedName>
    <definedName name="solver_val" localSheetId="2" hidden="1">0</definedName>
    <definedName name="solver_val" localSheetId="3" hidden="1">0</definedName>
    <definedName name="solver_ver" localSheetId="1" hidden="1">3</definedName>
    <definedName name="solver_ver" localSheetId="2" hidden="1">3</definedName>
    <definedName name="solver_ver" localSheetId="3" hidden="1">3</definedName>
  </definedNames>
  <calcPr calcId="144525"/>
</workbook>
</file>

<file path=xl/calcChain.xml><?xml version="1.0" encoding="utf-8"?>
<calcChain xmlns="http://schemas.openxmlformats.org/spreadsheetml/2006/main">
  <c r="L29" i="8" l="1"/>
  <c r="J33" i="8" l="1"/>
  <c r="L96" i="8"/>
  <c r="G96" i="8"/>
  <c r="I96" i="8" s="1"/>
  <c r="J96" i="8" s="1"/>
  <c r="K96" i="8" s="1"/>
  <c r="M96" i="8" s="1"/>
  <c r="N96" i="8" s="1"/>
  <c r="O96" i="8" s="1"/>
  <c r="F96" i="8"/>
  <c r="L95" i="8"/>
  <c r="J95" i="8"/>
  <c r="K95" i="8" s="1"/>
  <c r="M95" i="8" s="1"/>
  <c r="N95" i="8" s="1"/>
  <c r="O95" i="8" s="1"/>
  <c r="I95" i="8"/>
  <c r="G95" i="8"/>
  <c r="L94" i="8"/>
  <c r="J94" i="8"/>
  <c r="K94" i="8" s="1"/>
  <c r="M94" i="8" s="1"/>
  <c r="N94" i="8" s="1"/>
  <c r="O94" i="8" s="1"/>
  <c r="I94" i="8"/>
  <c r="G94" i="8"/>
  <c r="L93" i="8"/>
  <c r="I93" i="8"/>
  <c r="J93" i="8" s="1"/>
  <c r="K93" i="8" s="1"/>
  <c r="M93" i="8" s="1"/>
  <c r="N93" i="8" s="1"/>
  <c r="O93" i="8" s="1"/>
  <c r="G93" i="8"/>
  <c r="L88" i="8"/>
  <c r="F88" i="8"/>
  <c r="G88" i="8" s="1"/>
  <c r="L87" i="8"/>
  <c r="G87" i="8"/>
  <c r="I87" i="8" s="1"/>
  <c r="J87" i="8" s="1"/>
  <c r="K87" i="8" s="1"/>
  <c r="M87" i="8" s="1"/>
  <c r="N87" i="8" s="1"/>
  <c r="O87" i="8" s="1"/>
  <c r="F87" i="8"/>
  <c r="L86" i="8"/>
  <c r="J86" i="8"/>
  <c r="K86" i="8" s="1"/>
  <c r="M86" i="8" s="1"/>
  <c r="N86" i="8" s="1"/>
  <c r="O86" i="8" s="1"/>
  <c r="I86" i="8"/>
  <c r="G86" i="8"/>
  <c r="L85" i="8"/>
  <c r="J85" i="8"/>
  <c r="K85" i="8" s="1"/>
  <c r="M85" i="8" s="1"/>
  <c r="N85" i="8" s="1"/>
  <c r="O85" i="8" s="1"/>
  <c r="I85" i="8"/>
  <c r="G85" i="8"/>
  <c r="L70" i="8"/>
  <c r="G70" i="8"/>
  <c r="I70" i="8" s="1"/>
  <c r="J70" i="8" s="1"/>
  <c r="K70" i="8" s="1"/>
  <c r="M70" i="8" s="1"/>
  <c r="N70" i="8" s="1"/>
  <c r="O70" i="8" s="1"/>
  <c r="F70" i="8"/>
  <c r="L69" i="8"/>
  <c r="J69" i="8"/>
  <c r="K69" i="8" s="1"/>
  <c r="M69" i="8" s="1"/>
  <c r="N69" i="8" s="1"/>
  <c r="O69" i="8" s="1"/>
  <c r="I69" i="8"/>
  <c r="G69" i="8"/>
  <c r="L68" i="8"/>
  <c r="J68" i="8"/>
  <c r="K68" i="8" s="1"/>
  <c r="M68" i="8" s="1"/>
  <c r="N68" i="8" s="1"/>
  <c r="O68" i="8" s="1"/>
  <c r="I68" i="8"/>
  <c r="G68" i="8"/>
  <c r="L67" i="8"/>
  <c r="I67" i="8"/>
  <c r="J67" i="8" s="1"/>
  <c r="K67" i="8" s="1"/>
  <c r="M67" i="8" s="1"/>
  <c r="N67" i="8" s="1"/>
  <c r="O67" i="8" s="1"/>
  <c r="G67" i="8"/>
  <c r="L62" i="8"/>
  <c r="F62" i="8"/>
  <c r="G62" i="8" s="1"/>
  <c r="L61" i="8"/>
  <c r="G61" i="8"/>
  <c r="I61" i="8" s="1"/>
  <c r="J61" i="8" s="1"/>
  <c r="K61" i="8" s="1"/>
  <c r="M61" i="8" s="1"/>
  <c r="N61" i="8" s="1"/>
  <c r="O61" i="8" s="1"/>
  <c r="F61" i="8"/>
  <c r="L60" i="8"/>
  <c r="J60" i="8"/>
  <c r="K60" i="8" s="1"/>
  <c r="M60" i="8" s="1"/>
  <c r="N60" i="8" s="1"/>
  <c r="O60" i="8" s="1"/>
  <c r="I60" i="8"/>
  <c r="G60" i="8"/>
  <c r="L59" i="8"/>
  <c r="J59" i="8"/>
  <c r="K59" i="8" s="1"/>
  <c r="M59" i="8" s="1"/>
  <c r="N59" i="8" s="1"/>
  <c r="O59" i="8" s="1"/>
  <c r="I59" i="8"/>
  <c r="G59" i="8"/>
  <c r="H33" i="8"/>
  <c r="Q33" i="8" s="1"/>
  <c r="L30" i="8"/>
  <c r="H41" i="8" s="1"/>
  <c r="Q41" i="8" s="1"/>
  <c r="L44" i="8"/>
  <c r="G44" i="8"/>
  <c r="I44" i="8" s="1"/>
  <c r="J44" i="8" s="1"/>
  <c r="K44" i="8" s="1"/>
  <c r="M44" i="8" s="1"/>
  <c r="N44" i="8" s="1"/>
  <c r="O44" i="8" s="1"/>
  <c r="F44" i="8"/>
  <c r="L43" i="8"/>
  <c r="G43" i="8"/>
  <c r="I43" i="8" s="1"/>
  <c r="J43" i="8" s="1"/>
  <c r="K43" i="8" s="1"/>
  <c r="M43" i="8" s="1"/>
  <c r="N43" i="8" s="1"/>
  <c r="O43" i="8" s="1"/>
  <c r="L42" i="8"/>
  <c r="G42" i="8"/>
  <c r="I42" i="8" s="1"/>
  <c r="J42" i="8" s="1"/>
  <c r="K42" i="8" s="1"/>
  <c r="M42" i="8" s="1"/>
  <c r="N42" i="8" s="1"/>
  <c r="O42" i="8" s="1"/>
  <c r="L41" i="8"/>
  <c r="G41" i="8"/>
  <c r="I41" i="8" s="1"/>
  <c r="J41" i="8" s="1"/>
  <c r="K41" i="8" s="1"/>
  <c r="M41" i="8" s="1"/>
  <c r="N41" i="8" s="1"/>
  <c r="O41" i="8" s="1"/>
  <c r="L36" i="8"/>
  <c r="F36" i="8"/>
  <c r="G36" i="8" s="1"/>
  <c r="L35" i="8"/>
  <c r="G35" i="8"/>
  <c r="I35" i="8" s="1"/>
  <c r="J35" i="8" s="1"/>
  <c r="K35" i="8" s="1"/>
  <c r="M35" i="8" s="1"/>
  <c r="N35" i="8" s="1"/>
  <c r="O35" i="8" s="1"/>
  <c r="F35" i="8"/>
  <c r="L34" i="8"/>
  <c r="G34" i="8"/>
  <c r="I34" i="8" s="1"/>
  <c r="J34" i="8" s="1"/>
  <c r="K34" i="8" s="1"/>
  <c r="M34" i="8" s="1"/>
  <c r="N34" i="8" s="1"/>
  <c r="O34" i="8" s="1"/>
  <c r="L33" i="8"/>
  <c r="G33" i="8"/>
  <c r="I33" i="8" s="1"/>
  <c r="K33" i="8" s="1"/>
  <c r="M33" i="8" s="1"/>
  <c r="N33" i="8" s="1"/>
  <c r="O33" i="8" s="1"/>
  <c r="H7" i="8"/>
  <c r="L55" i="8" l="1"/>
  <c r="H61" i="8" s="1"/>
  <c r="Q61" i="8" s="1"/>
  <c r="L56" i="8"/>
  <c r="H67" i="8" s="1"/>
  <c r="Q67" i="8" s="1"/>
  <c r="I88" i="8"/>
  <c r="J88" i="8" s="1"/>
  <c r="K88" i="8" s="1"/>
  <c r="M88" i="8" s="1"/>
  <c r="N88" i="8" s="1"/>
  <c r="O88" i="8" s="1"/>
  <c r="I62" i="8"/>
  <c r="J62" i="8" s="1"/>
  <c r="K62" i="8" s="1"/>
  <c r="M62" i="8" s="1"/>
  <c r="N62" i="8" s="1"/>
  <c r="O62" i="8" s="1"/>
  <c r="H42" i="8"/>
  <c r="Q42" i="8" s="1"/>
  <c r="H43" i="8"/>
  <c r="Q43" i="8" s="1"/>
  <c r="P41" i="8"/>
  <c r="R41" i="8" s="1"/>
  <c r="P33" i="8"/>
  <c r="R33" i="8" s="1"/>
  <c r="H34" i="8"/>
  <c r="Q34" i="8" s="1"/>
  <c r="I36" i="8"/>
  <c r="J36" i="8" s="1"/>
  <c r="K36" i="8" s="1"/>
  <c r="M36" i="8" s="1"/>
  <c r="N36" i="8" s="1"/>
  <c r="O36" i="8" s="1"/>
  <c r="H36" i="8"/>
  <c r="Q36" i="8" s="1"/>
  <c r="H35" i="8"/>
  <c r="Q35" i="8" s="1"/>
  <c r="H44" i="8"/>
  <c r="Q44" i="8" s="1"/>
  <c r="H18" i="8"/>
  <c r="H17" i="8"/>
  <c r="H16" i="8"/>
  <c r="Q16" i="8" s="1"/>
  <c r="H15" i="8"/>
  <c r="H10" i="8"/>
  <c r="H9" i="8"/>
  <c r="H8" i="8"/>
  <c r="Q7" i="8"/>
  <c r="H10" i="5"/>
  <c r="I18" i="8"/>
  <c r="J18" i="8" s="1"/>
  <c r="K18" i="8" s="1"/>
  <c r="G18" i="8"/>
  <c r="F18" i="8"/>
  <c r="I17" i="8"/>
  <c r="J17" i="8" s="1"/>
  <c r="K17" i="8" s="1"/>
  <c r="G17" i="8"/>
  <c r="L16" i="8"/>
  <c r="I16" i="8"/>
  <c r="G16" i="8"/>
  <c r="G15" i="8"/>
  <c r="G10" i="8"/>
  <c r="F10" i="8"/>
  <c r="G9" i="8"/>
  <c r="F9" i="8"/>
  <c r="G8" i="8"/>
  <c r="G7" i="8"/>
  <c r="I7" i="8" s="1"/>
  <c r="J7" i="8" s="1"/>
  <c r="K7" i="8" s="1"/>
  <c r="C3" i="8"/>
  <c r="L15" i="8" s="1"/>
  <c r="C2" i="8"/>
  <c r="J16" i="8" s="1"/>
  <c r="K16" i="8" s="1"/>
  <c r="M16" i="8" s="1"/>
  <c r="N16" i="8" s="1"/>
  <c r="O16" i="8" s="1"/>
  <c r="H62" i="8" l="1"/>
  <c r="Q62" i="8" s="1"/>
  <c r="H70" i="8"/>
  <c r="Q70" i="8" s="1"/>
  <c r="H68" i="8"/>
  <c r="Q68" i="8" s="1"/>
  <c r="P43" i="8"/>
  <c r="R43" i="8" s="1"/>
  <c r="P42" i="8"/>
  <c r="R42" i="8" s="1"/>
  <c r="P67" i="8"/>
  <c r="R67" i="8" s="1"/>
  <c r="H69" i="8"/>
  <c r="L82" i="8"/>
  <c r="L81" i="8"/>
  <c r="H60" i="8"/>
  <c r="H59" i="8"/>
  <c r="P61" i="8"/>
  <c r="P34" i="8"/>
  <c r="R34" i="8" s="1"/>
  <c r="P44" i="8"/>
  <c r="P35" i="8"/>
  <c r="P36" i="8"/>
  <c r="R36" i="8" s="1"/>
  <c r="Q17" i="8"/>
  <c r="Q18" i="8"/>
  <c r="Q15" i="8"/>
  <c r="Q10" i="8"/>
  <c r="Q9" i="8"/>
  <c r="Q8" i="8"/>
  <c r="P16" i="8"/>
  <c r="R16" i="8" s="1"/>
  <c r="M18" i="8"/>
  <c r="N18" i="8" s="1"/>
  <c r="O18" i="8" s="1"/>
  <c r="P18" i="8" s="1"/>
  <c r="R18" i="8" s="1"/>
  <c r="M7" i="8"/>
  <c r="N7" i="8" s="1"/>
  <c r="O7" i="8" s="1"/>
  <c r="P7" i="8" s="1"/>
  <c r="R7" i="8" s="1"/>
  <c r="L7" i="8"/>
  <c r="I8" i="8"/>
  <c r="J8" i="8" s="1"/>
  <c r="K8" i="8" s="1"/>
  <c r="M8" i="8" s="1"/>
  <c r="N8" i="8" s="1"/>
  <c r="O8" i="8" s="1"/>
  <c r="P8" i="8" s="1"/>
  <c r="R8" i="8" s="1"/>
  <c r="I9" i="8"/>
  <c r="J9" i="8" s="1"/>
  <c r="K9" i="8" s="1"/>
  <c r="I10" i="8"/>
  <c r="J10" i="8" s="1"/>
  <c r="K10" i="8" s="1"/>
  <c r="I15" i="8"/>
  <c r="J15" i="8" s="1"/>
  <c r="K15" i="8" s="1"/>
  <c r="M15" i="8" s="1"/>
  <c r="N15" i="8" s="1"/>
  <c r="O15" i="8" s="1"/>
  <c r="P15" i="8" s="1"/>
  <c r="R15" i="8" s="1"/>
  <c r="L17" i="8"/>
  <c r="M17" i="8" s="1"/>
  <c r="N17" i="8" s="1"/>
  <c r="O17" i="8" s="1"/>
  <c r="P17" i="8" s="1"/>
  <c r="R17" i="8" s="1"/>
  <c r="L18" i="8"/>
  <c r="L8" i="8"/>
  <c r="L9" i="8"/>
  <c r="L10" i="8"/>
  <c r="P8" i="6"/>
  <c r="P62" i="8" l="1"/>
  <c r="R62" i="8" s="1"/>
  <c r="P68" i="8"/>
  <c r="R68" i="8" s="1"/>
  <c r="P70" i="8"/>
  <c r="R70" i="8" s="1"/>
  <c r="Q59" i="8"/>
  <c r="P59" i="8"/>
  <c r="R59" i="8" s="1"/>
  <c r="Q69" i="8"/>
  <c r="P69" i="8"/>
  <c r="Q60" i="8"/>
  <c r="P60" i="8"/>
  <c r="R60" i="8" s="1"/>
  <c r="H85" i="8"/>
  <c r="H88" i="8"/>
  <c r="H87" i="8"/>
  <c r="H86" i="8"/>
  <c r="H95" i="8"/>
  <c r="H93" i="8"/>
  <c r="H94" i="8"/>
  <c r="H96" i="8"/>
  <c r="R61" i="8"/>
  <c r="R35" i="8"/>
  <c r="R37" i="8" s="1"/>
  <c r="P37" i="8"/>
  <c r="R44" i="8"/>
  <c r="R45" i="8" s="1"/>
  <c r="P45" i="8"/>
  <c r="R19" i="8"/>
  <c r="P19" i="8"/>
  <c r="M10" i="8"/>
  <c r="N10" i="8" s="1"/>
  <c r="O10" i="8" s="1"/>
  <c r="P10" i="8" s="1"/>
  <c r="R10" i="8" s="1"/>
  <c r="M9" i="8"/>
  <c r="N9" i="8" s="1"/>
  <c r="O9" i="8" s="1"/>
  <c r="P9" i="8" s="1"/>
  <c r="R9" i="8" s="1"/>
  <c r="E2" i="7"/>
  <c r="H17" i="7"/>
  <c r="E16" i="7"/>
  <c r="L16" i="7" s="1"/>
  <c r="H7" i="7"/>
  <c r="H9" i="7"/>
  <c r="H8" i="7"/>
  <c r="E17" i="7"/>
  <c r="G17" i="7"/>
  <c r="G16" i="7"/>
  <c r="H16" i="7" s="1"/>
  <c r="Q16" i="7" s="1"/>
  <c r="G15" i="7"/>
  <c r="H15" i="7" s="1"/>
  <c r="G9" i="7"/>
  <c r="G8" i="7"/>
  <c r="G7" i="7"/>
  <c r="I7" i="7" s="1"/>
  <c r="J7" i="7" s="1"/>
  <c r="K7" i="7" s="1"/>
  <c r="N4" i="7"/>
  <c r="N3" i="7"/>
  <c r="C3" i="7"/>
  <c r="L15" i="7" s="1"/>
  <c r="C2" i="7"/>
  <c r="P63" i="8" l="1"/>
  <c r="R63" i="8"/>
  <c r="Q93" i="8"/>
  <c r="P93" i="8"/>
  <c r="Q88" i="8"/>
  <c r="P88" i="8"/>
  <c r="R88" i="8" s="1"/>
  <c r="R69" i="8"/>
  <c r="R71" i="8" s="1"/>
  <c r="P71" i="8"/>
  <c r="Q95" i="8"/>
  <c r="P95" i="8"/>
  <c r="R95" i="8" s="1"/>
  <c r="Q85" i="8"/>
  <c r="P85" i="8"/>
  <c r="Q96" i="8"/>
  <c r="P96" i="8"/>
  <c r="R96" i="8" s="1"/>
  <c r="Q86" i="8"/>
  <c r="P86" i="8"/>
  <c r="R86" i="8" s="1"/>
  <c r="Q94" i="8"/>
  <c r="P94" i="8"/>
  <c r="R94" i="8" s="1"/>
  <c r="Q87" i="8"/>
  <c r="P87" i="8"/>
  <c r="R87" i="8" s="1"/>
  <c r="Q49" i="8"/>
  <c r="Q48" i="8"/>
  <c r="R11" i="8"/>
  <c r="Q23" i="8"/>
  <c r="P11" i="8"/>
  <c r="Q17" i="7"/>
  <c r="Q8" i="7"/>
  <c r="Q15" i="7"/>
  <c r="Q9" i="7"/>
  <c r="Q7" i="7"/>
  <c r="I17" i="7"/>
  <c r="J17" i="7" s="1"/>
  <c r="K17" i="7" s="1"/>
  <c r="I16" i="7"/>
  <c r="J16" i="7" s="1"/>
  <c r="K16" i="7" s="1"/>
  <c r="M16" i="7" s="1"/>
  <c r="N16" i="7" s="1"/>
  <c r="O16" i="7" s="1"/>
  <c r="P16" i="7" s="1"/>
  <c r="L7" i="7"/>
  <c r="M7" i="7" s="1"/>
  <c r="N7" i="7" s="1"/>
  <c r="O7" i="7" s="1"/>
  <c r="I8" i="7"/>
  <c r="J8" i="7" s="1"/>
  <c r="K8" i="7" s="1"/>
  <c r="M8" i="7" s="1"/>
  <c r="N8" i="7" s="1"/>
  <c r="O8" i="7" s="1"/>
  <c r="P8" i="7" s="1"/>
  <c r="I9" i="7"/>
  <c r="J9" i="7" s="1"/>
  <c r="K9" i="7" s="1"/>
  <c r="I15" i="7"/>
  <c r="J15" i="7" s="1"/>
  <c r="K15" i="7" s="1"/>
  <c r="M15" i="7" s="1"/>
  <c r="N15" i="7" s="1"/>
  <c r="O15" i="7" s="1"/>
  <c r="P15" i="7" s="1"/>
  <c r="L17" i="7"/>
  <c r="L8" i="7"/>
  <c r="L9" i="7"/>
  <c r="P34" i="6"/>
  <c r="P33" i="6"/>
  <c r="P32" i="6"/>
  <c r="P27" i="6"/>
  <c r="P26" i="6"/>
  <c r="P25" i="6"/>
  <c r="P20" i="6"/>
  <c r="P19" i="6"/>
  <c r="P18" i="6"/>
  <c r="P13" i="6"/>
  <c r="P12" i="6"/>
  <c r="P11" i="6"/>
  <c r="P5" i="6"/>
  <c r="P6" i="6"/>
  <c r="P4" i="6"/>
  <c r="H27" i="6"/>
  <c r="H33" i="6"/>
  <c r="H34" i="6"/>
  <c r="I34" i="6" s="1"/>
  <c r="J34" i="6" s="1"/>
  <c r="K34" i="6" s="1"/>
  <c r="L34" i="6" s="1"/>
  <c r="M34" i="6" s="1"/>
  <c r="O34" i="6" s="1"/>
  <c r="H32" i="6"/>
  <c r="I32" i="6" s="1"/>
  <c r="J32" i="6" s="1"/>
  <c r="K32" i="6" s="1"/>
  <c r="L32" i="6" s="1"/>
  <c r="M32" i="6" s="1"/>
  <c r="G34" i="6"/>
  <c r="I33" i="6"/>
  <c r="J33" i="6" s="1"/>
  <c r="K33" i="6" s="1"/>
  <c r="L33" i="6" s="1"/>
  <c r="M33" i="6" s="1"/>
  <c r="O33" i="6" s="1"/>
  <c r="G33" i="6"/>
  <c r="G32" i="6"/>
  <c r="H26" i="6"/>
  <c r="I27" i="6"/>
  <c r="J27" i="6" s="1"/>
  <c r="K27" i="6" s="1"/>
  <c r="L27" i="6" s="1"/>
  <c r="M27" i="6" s="1"/>
  <c r="O27" i="6" s="1"/>
  <c r="H25" i="6"/>
  <c r="I25" i="6" s="1"/>
  <c r="J25" i="6" s="1"/>
  <c r="K25" i="6" s="1"/>
  <c r="L25" i="6" s="1"/>
  <c r="M25" i="6" s="1"/>
  <c r="G27" i="6"/>
  <c r="I26" i="6"/>
  <c r="J26" i="6" s="1"/>
  <c r="K26" i="6" s="1"/>
  <c r="L26" i="6" s="1"/>
  <c r="M26" i="6" s="1"/>
  <c r="O26" i="6" s="1"/>
  <c r="G26" i="6"/>
  <c r="G25" i="6"/>
  <c r="O22" i="6"/>
  <c r="P22" i="6" s="1"/>
  <c r="Q10" i="5"/>
  <c r="Q74" i="8" l="1"/>
  <c r="Q75" i="8"/>
  <c r="R85" i="8"/>
  <c r="R89" i="8" s="1"/>
  <c r="P89" i="8"/>
  <c r="R93" i="8"/>
  <c r="R97" i="8" s="1"/>
  <c r="P97" i="8"/>
  <c r="Q51" i="8"/>
  <c r="Q22" i="8"/>
  <c r="Q25" i="8" s="1"/>
  <c r="P7" i="7"/>
  <c r="M17" i="7"/>
  <c r="N17" i="7" s="1"/>
  <c r="O17" i="7" s="1"/>
  <c r="P17" i="7" s="1"/>
  <c r="P19" i="7" s="1"/>
  <c r="M9" i="7"/>
  <c r="N9" i="7" s="1"/>
  <c r="O9" i="7" s="1"/>
  <c r="P9" i="7" s="1"/>
  <c r="M35" i="6"/>
  <c r="O32" i="6"/>
  <c r="O35" i="6" s="1"/>
  <c r="O25" i="6"/>
  <c r="O28" i="6" s="1"/>
  <c r="M28" i="6"/>
  <c r="H6" i="6"/>
  <c r="H5" i="6"/>
  <c r="H4" i="6"/>
  <c r="G20" i="6"/>
  <c r="G19" i="6"/>
  <c r="G18" i="6"/>
  <c r="G13" i="6"/>
  <c r="G12" i="6"/>
  <c r="G11" i="6"/>
  <c r="N10" i="5"/>
  <c r="N7" i="5"/>
  <c r="M7" i="5"/>
  <c r="L7" i="5"/>
  <c r="K7" i="5"/>
  <c r="N4" i="5"/>
  <c r="N3" i="5"/>
  <c r="H15" i="5"/>
  <c r="Q15" i="5" s="1"/>
  <c r="F18" i="5"/>
  <c r="G18" i="5" s="1"/>
  <c r="H18" i="5" s="1"/>
  <c r="Q18" i="5" s="1"/>
  <c r="F10" i="5"/>
  <c r="F9" i="5"/>
  <c r="L18" i="5"/>
  <c r="L17" i="5"/>
  <c r="G17" i="5"/>
  <c r="I17" i="5" s="1"/>
  <c r="J17" i="5" s="1"/>
  <c r="K17" i="5" s="1"/>
  <c r="G16" i="5"/>
  <c r="I16" i="5" s="1"/>
  <c r="J16" i="5" s="1"/>
  <c r="K16" i="5" s="1"/>
  <c r="L15" i="5"/>
  <c r="G15" i="5"/>
  <c r="I15" i="5" s="1"/>
  <c r="L8" i="5"/>
  <c r="L10" i="5"/>
  <c r="C3" i="5"/>
  <c r="L16" i="5" s="1"/>
  <c r="C2" i="5"/>
  <c r="Q77" i="8" l="1"/>
  <c r="P11" i="7"/>
  <c r="P21" i="7" s="1"/>
  <c r="O36" i="6"/>
  <c r="P36" i="6" s="1"/>
  <c r="O29" i="6"/>
  <c r="P29" i="6" s="1"/>
  <c r="H16" i="5"/>
  <c r="Q16" i="5" s="1"/>
  <c r="H17" i="5"/>
  <c r="Q17" i="5" s="1"/>
  <c r="L9" i="5"/>
  <c r="J15" i="5"/>
  <c r="K15" i="5" s="1"/>
  <c r="M15" i="5" s="1"/>
  <c r="N15" i="5" s="1"/>
  <c r="O15" i="5" s="1"/>
  <c r="P15" i="5" s="1"/>
  <c r="M16" i="5"/>
  <c r="N16" i="5" s="1"/>
  <c r="O16" i="5" s="1"/>
  <c r="M17" i="5"/>
  <c r="N17" i="5" s="1"/>
  <c r="O17" i="5" s="1"/>
  <c r="I18" i="5"/>
  <c r="J18" i="5" s="1"/>
  <c r="K18" i="5" s="1"/>
  <c r="M18" i="5" s="1"/>
  <c r="N18" i="5" s="1"/>
  <c r="O18" i="5" s="1"/>
  <c r="P18" i="5" s="1"/>
  <c r="G5" i="6"/>
  <c r="G6" i="6"/>
  <c r="G4" i="6"/>
  <c r="P17" i="5" l="1"/>
  <c r="I5" i="6"/>
  <c r="J5" i="6" s="1"/>
  <c r="K5" i="6" s="1"/>
  <c r="L5" i="6" s="1"/>
  <c r="I6" i="6"/>
  <c r="J6" i="6" s="1"/>
  <c r="K6" i="6" s="1"/>
  <c r="L6" i="6" s="1"/>
  <c r="M6" i="6" s="1"/>
  <c r="O6" i="6" s="1"/>
  <c r="I4" i="6"/>
  <c r="J4" i="6" s="1"/>
  <c r="K4" i="6" s="1"/>
  <c r="L4" i="6" s="1"/>
  <c r="M4" i="6" s="1"/>
  <c r="O4" i="6" s="1"/>
  <c r="P16" i="5"/>
  <c r="G8" i="5"/>
  <c r="G9" i="5"/>
  <c r="H9" i="5" s="1"/>
  <c r="Q9" i="5" s="1"/>
  <c r="G10" i="5"/>
  <c r="G7" i="5"/>
  <c r="P19" i="5" l="1"/>
  <c r="M5" i="6"/>
  <c r="O5" i="6" s="1"/>
  <c r="O7" i="6" s="1"/>
  <c r="I8" i="5"/>
  <c r="J8" i="5" s="1"/>
  <c r="H8" i="5"/>
  <c r="Q8" i="5" s="1"/>
  <c r="I7" i="5"/>
  <c r="J7" i="5" s="1"/>
  <c r="O7" i="5" s="1"/>
  <c r="H7" i="5"/>
  <c r="Q7" i="5" s="1"/>
  <c r="I10" i="5"/>
  <c r="I9" i="5"/>
  <c r="P7" i="5" l="1"/>
  <c r="M7" i="6"/>
  <c r="O8" i="6" s="1"/>
  <c r="H11" i="6" s="1"/>
  <c r="J9" i="5"/>
  <c r="K9" i="5" s="1"/>
  <c r="M9" i="5" s="1"/>
  <c r="N9" i="5" s="1"/>
  <c r="O9" i="5" s="1"/>
  <c r="P9" i="5" s="1"/>
  <c r="K8" i="5"/>
  <c r="M8" i="5" s="1"/>
  <c r="N8" i="5" s="1"/>
  <c r="O8" i="5" s="1"/>
  <c r="P8" i="5" s="1"/>
  <c r="H13" i="6" l="1"/>
  <c r="H12" i="6"/>
  <c r="J10" i="5"/>
  <c r="K10" i="5" s="1"/>
  <c r="M10" i="5" s="1"/>
  <c r="O10" i="5" s="1"/>
  <c r="P10" i="5" s="1"/>
  <c r="P11" i="5" s="1"/>
  <c r="P21" i="5" s="1"/>
  <c r="I13" i="6" l="1"/>
  <c r="J13" i="6" s="1"/>
  <c r="I12" i="6"/>
  <c r="J12" i="6" s="1"/>
  <c r="K12" i="6" s="1"/>
  <c r="L12" i="6" s="1"/>
  <c r="M12" i="6" s="1"/>
  <c r="O12" i="6" s="1"/>
  <c r="I11" i="6"/>
  <c r="J11" i="6" s="1"/>
  <c r="K11" i="6" s="1"/>
  <c r="L11" i="6" s="1"/>
  <c r="M11" i="6" s="1"/>
  <c r="K13" i="6" l="1"/>
  <c r="L13" i="6" s="1"/>
  <c r="M13" i="6" s="1"/>
  <c r="O11" i="6"/>
  <c r="O13" i="6" l="1"/>
  <c r="O14" i="6" s="1"/>
  <c r="M14" i="6"/>
  <c r="O15" i="6" s="1"/>
  <c r="H18" i="6" s="1"/>
  <c r="P15" i="6" l="1"/>
  <c r="I18" i="6" l="1"/>
  <c r="J18" i="6" s="1"/>
  <c r="K18" i="6" s="1"/>
  <c r="L18" i="6" s="1"/>
  <c r="M18" i="6" s="1"/>
  <c r="O18" i="6" s="1"/>
  <c r="H19" i="6"/>
  <c r="H20" i="6"/>
  <c r="I19" i="6" l="1"/>
  <c r="J19" i="6" s="1"/>
  <c r="K19" i="6" s="1"/>
  <c r="L19" i="6" s="1"/>
  <c r="M19" i="6" s="1"/>
  <c r="O19" i="6" s="1"/>
  <c r="O21" i="6" s="1"/>
  <c r="I20" i="6"/>
  <c r="J20" i="6" s="1"/>
  <c r="K20" i="6" s="1"/>
  <c r="L20" i="6" s="1"/>
  <c r="M20" i="6" s="1"/>
  <c r="O20" i="6" s="1"/>
  <c r="M21" i="6" l="1"/>
</calcChain>
</file>

<file path=xl/sharedStrings.xml><?xml version="1.0" encoding="utf-8"?>
<sst xmlns="http://schemas.openxmlformats.org/spreadsheetml/2006/main" count="325" uniqueCount="41">
  <si>
    <t>Re</t>
  </si>
  <si>
    <t>f</t>
  </si>
  <si>
    <t>R</t>
  </si>
  <si>
    <t>hf/Q</t>
  </si>
  <si>
    <t>L (m)</t>
  </si>
  <si>
    <t>D (m)</t>
  </si>
  <si>
    <t>Q (L/s)</t>
  </si>
  <si>
    <t>Q (m3/s)</t>
  </si>
  <si>
    <t>Q+ΔQ  (m3/s)</t>
  </si>
  <si>
    <t>V (m/s)</t>
  </si>
  <si>
    <t>ν (m2/s)</t>
  </si>
  <si>
    <t>k (m)</t>
  </si>
  <si>
    <t xml:space="preserve"> R</t>
  </si>
  <si>
    <t>Σhf=</t>
  </si>
  <si>
    <t>error=</t>
  </si>
  <si>
    <t>ΔQ1 (m3/s)</t>
  </si>
  <si>
    <t>ΔQ2 (m3/s)</t>
  </si>
  <si>
    <t>ΔQ1 (L/s)</t>
  </si>
  <si>
    <t>ΔQ2 (L/s)</t>
  </si>
  <si>
    <t>Data</t>
  </si>
  <si>
    <t>variable cells</t>
  </si>
  <si>
    <t>κλαδος</t>
  </si>
  <si>
    <t>Results</t>
  </si>
  <si>
    <t>Σhf =</t>
  </si>
  <si>
    <t>D (mm)</t>
  </si>
  <si>
    <t>D(m)</t>
  </si>
  <si>
    <t>ονομαστικη D (mm)</t>
  </si>
  <si>
    <t>Σhf/Q =</t>
  </si>
  <si>
    <t>hf (m)</t>
  </si>
  <si>
    <t>iteration 1</t>
  </si>
  <si>
    <t>iteration 2</t>
  </si>
  <si>
    <t>iteration 3</t>
  </si>
  <si>
    <t>iteration 4</t>
  </si>
  <si>
    <t>Q(L/s)</t>
  </si>
  <si>
    <t>ΔQ (m3/s) =</t>
  </si>
  <si>
    <t>z1 (m)</t>
  </si>
  <si>
    <t>z5 (m)</t>
  </si>
  <si>
    <t>2*hf/Q</t>
  </si>
  <si>
    <t>2Σhf/Q=</t>
  </si>
  <si>
    <t>loop 1 equation</t>
  </si>
  <si>
    <t>loop 2  equation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</si>
</sst>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3" borderId="0" xfId="0" applyFont="1" applyFill="1"/>
    <xf numFmtId="0" fontId="5" fillId="0" borderId="0" xfId="0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2" fontId="0" fillId="4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2" fillId="5" borderId="0" xfId="0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5" fillId="0" borderId="0" xfId="0" applyFont="1" applyFill="1"/>
    <xf numFmtId="0" fontId="4" fillId="0" borderId="0" xfId="0" applyFont="1" applyFill="1" applyAlignment="1">
      <alignment horizontal="center"/>
    </xf>
    <xf numFmtId="0" fontId="0" fillId="6" borderId="0" xfId="0" applyFill="1"/>
    <xf numFmtId="0" fontId="5" fillId="0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0" fillId="0" borderId="0" xfId="0" applyAlignment="1"/>
    <xf numFmtId="0" fontId="2" fillId="3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21</xdr:row>
      <xdr:rowOff>76200</xdr:rowOff>
    </xdr:from>
    <xdr:to>
      <xdr:col>12</xdr:col>
      <xdr:colOff>438150</xdr:colOff>
      <xdr:row>25</xdr:row>
      <xdr:rowOff>123825</xdr:rowOff>
    </xdr:to>
    <xdr:sp macro="" textlink="">
      <xdr:nvSpPr>
        <xdr:cNvPr id="5" name="TextBox 4"/>
        <xdr:cNvSpPr txBox="1"/>
      </xdr:nvSpPr>
      <xdr:spPr>
        <a:xfrm>
          <a:off x="6429375" y="4076700"/>
          <a:ext cx="29051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l-GR" sz="1100"/>
            <a:t>Οι</a:t>
          </a:r>
          <a:r>
            <a:rPr lang="el-GR" sz="1100" baseline="0"/>
            <a:t> δεδομένες εξωτερικές παροχές και οι </a:t>
          </a:r>
          <a:r>
            <a:rPr lang="el-GR" sz="1100" baseline="0">
              <a:solidFill>
                <a:srgbClr val="00B050"/>
              </a:solidFill>
            </a:rPr>
            <a:t>αρχικές δοκιμαστικές παροχές </a:t>
          </a:r>
          <a:r>
            <a:rPr lang="el-GR" sz="1100" baseline="0">
              <a:solidFill>
                <a:sysClr val="windowText" lastClr="000000"/>
              </a:solidFill>
            </a:rPr>
            <a:t>στους κλάδους. Οι αρχικές παροχές είναι επιλεγμένες με εύλογο τρόπο αλλά είναι αυθαίρετες.</a:t>
          </a:r>
          <a:endParaRPr lang="en-US" sz="1100"/>
        </a:p>
      </xdr:txBody>
    </xdr:sp>
    <xdr:clientData/>
  </xdr:twoCellAnchor>
  <xdr:twoCellAnchor editAs="oneCell">
    <xdr:from>
      <xdr:col>1</xdr:col>
      <xdr:colOff>666750</xdr:colOff>
      <xdr:row>19</xdr:row>
      <xdr:rowOff>123825</xdr:rowOff>
    </xdr:from>
    <xdr:to>
      <xdr:col>8</xdr:col>
      <xdr:colOff>361315</xdr:colOff>
      <xdr:row>35</xdr:row>
      <xdr:rowOff>47254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0" y="3743325"/>
          <a:ext cx="5076190" cy="297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45</xdr:row>
      <xdr:rowOff>14339</xdr:rowOff>
    </xdr:from>
    <xdr:to>
      <xdr:col>11</xdr:col>
      <xdr:colOff>685800</xdr:colOff>
      <xdr:row>58</xdr:row>
      <xdr:rowOff>190499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586839"/>
          <a:ext cx="7953375" cy="2652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361950</xdr:colOff>
      <xdr:row>18</xdr:row>
      <xdr:rowOff>19050</xdr:rowOff>
    </xdr:from>
    <xdr:to>
      <xdr:col>10</xdr:col>
      <xdr:colOff>656463</xdr:colOff>
      <xdr:row>35</xdr:row>
      <xdr:rowOff>85312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1650" y="3448050"/>
          <a:ext cx="6095238" cy="33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161925</xdr:colOff>
      <xdr:row>4</xdr:row>
      <xdr:rowOff>19050</xdr:rowOff>
    </xdr:from>
    <xdr:to>
      <xdr:col>28</xdr:col>
      <xdr:colOff>361314</xdr:colOff>
      <xdr:row>19</xdr:row>
      <xdr:rowOff>132979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30575" y="781050"/>
          <a:ext cx="5076190" cy="297142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361950</xdr:colOff>
          <xdr:row>21</xdr:row>
          <xdr:rowOff>76200</xdr:rowOff>
        </xdr:from>
        <xdr:to>
          <xdr:col>29</xdr:col>
          <xdr:colOff>190500</xdr:colOff>
          <xdr:row>25</xdr:row>
          <xdr:rowOff>9525</xdr:rowOff>
        </xdr:to>
        <xdr:sp macro="" textlink="">
          <xdr:nvSpPr>
            <xdr:cNvPr id="3073" name="Object 2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6"/>
  <sheetViews>
    <sheetView zoomScaleNormal="100" workbookViewId="0">
      <selection activeCell="P9" sqref="P9"/>
    </sheetView>
  </sheetViews>
  <sheetFormatPr defaultRowHeight="15" x14ac:dyDescent="0.25"/>
  <cols>
    <col min="1" max="1" width="14.42578125" style="1" customWidth="1"/>
    <col min="5" max="5" width="18.28515625" bestFit="1" customWidth="1"/>
    <col min="8" max="8" width="11" customWidth="1"/>
    <col min="14" max="14" width="12.5703125" customWidth="1"/>
  </cols>
  <sheetData>
    <row r="2" spans="1:16" x14ac:dyDescent="0.25">
      <c r="C2" s="28" t="s">
        <v>19</v>
      </c>
      <c r="D2" s="28"/>
      <c r="E2" s="29"/>
    </row>
    <row r="3" spans="1:16" x14ac:dyDescent="0.25">
      <c r="C3" s="10" t="s">
        <v>21</v>
      </c>
      <c r="D3" s="10" t="s">
        <v>4</v>
      </c>
      <c r="E3" s="10" t="s">
        <v>26</v>
      </c>
      <c r="F3" s="2" t="s">
        <v>24</v>
      </c>
      <c r="G3" s="2" t="s">
        <v>25</v>
      </c>
      <c r="H3" s="2" t="s">
        <v>7</v>
      </c>
      <c r="I3" s="2" t="s">
        <v>9</v>
      </c>
      <c r="J3" s="2" t="s">
        <v>0</v>
      </c>
      <c r="K3" s="2" t="s">
        <v>1</v>
      </c>
      <c r="L3" s="2" t="s">
        <v>2</v>
      </c>
      <c r="M3" s="2" t="s">
        <v>28</v>
      </c>
      <c r="O3" s="2" t="s">
        <v>3</v>
      </c>
      <c r="P3" s="2" t="s">
        <v>33</v>
      </c>
    </row>
    <row r="4" spans="1:16" x14ac:dyDescent="0.25">
      <c r="C4" s="11">
        <v>12</v>
      </c>
      <c r="D4" s="11">
        <v>200</v>
      </c>
      <c r="E4" s="11">
        <v>160</v>
      </c>
      <c r="F4" s="1">
        <v>141</v>
      </c>
      <c r="G4" s="1">
        <f>F4/1000</f>
        <v>0.14099999999999999</v>
      </c>
      <c r="H4" s="1">
        <f>16/1000</f>
        <v>1.6E-2</v>
      </c>
      <c r="I4" s="1">
        <f t="shared" ref="I4:I5" si="0">4*ABS(H4)/(PI()*G4^2)</f>
        <v>1.0246885325568436</v>
      </c>
      <c r="J4" s="1">
        <f>I4*G4/(10^(-6))</f>
        <v>144481.08309051493</v>
      </c>
      <c r="K4" s="1">
        <f>0.25/(LOG10(5.74/J4^0.9+10^(-4)/3.7/G4))^2</f>
        <v>2.0500439876177504E-2</v>
      </c>
      <c r="L4" s="1">
        <f>8*K4*D4/(PI()^2*9.81*G4^5)</f>
        <v>6078.8138792458394</v>
      </c>
      <c r="M4" s="1">
        <f>L4*H4*ABS(H4)</f>
        <v>1.556176353086935</v>
      </c>
      <c r="O4">
        <f>M4/H4</f>
        <v>97.261022067933439</v>
      </c>
      <c r="P4" s="1">
        <f>H4*1000</f>
        <v>16</v>
      </c>
    </row>
    <row r="5" spans="1:16" x14ac:dyDescent="0.25">
      <c r="C5" s="11">
        <v>23</v>
      </c>
      <c r="D5" s="11">
        <v>300</v>
      </c>
      <c r="E5" s="11">
        <v>110</v>
      </c>
      <c r="F5" s="1">
        <v>96.8</v>
      </c>
      <c r="G5" s="1">
        <f t="shared" ref="G5:G6" si="1">F5/1000</f>
        <v>9.6799999999999997E-2</v>
      </c>
      <c r="H5" s="1">
        <f>4/1000</f>
        <v>4.0000000000000001E-3</v>
      </c>
      <c r="I5" s="1">
        <f t="shared" si="0"/>
        <v>0.54352483809813312</v>
      </c>
      <c r="J5" s="1">
        <f>I5*G5/(10^(-6))</f>
        <v>52613.204327899293</v>
      </c>
      <c r="K5" s="1">
        <f>0.25/(LOG10(5.74/J5^0.9+10^(-4)/3.7/G5))^2</f>
        <v>2.4113712403106686E-2</v>
      </c>
      <c r="L5" s="1">
        <f>8*K5*D5/(PI()^2*9.81*G5^5)</f>
        <v>70328.244890685804</v>
      </c>
      <c r="M5" s="1">
        <f t="shared" ref="M5:M6" si="2">L5*H5*ABS(H5)</f>
        <v>1.125251918250973</v>
      </c>
      <c r="O5">
        <f>M5/H5</f>
        <v>281.31297956274324</v>
      </c>
      <c r="P5" s="1">
        <f t="shared" ref="P5:P6" si="3">H5*1000</f>
        <v>4</v>
      </c>
    </row>
    <row r="6" spans="1:16" x14ac:dyDescent="0.25">
      <c r="C6" s="11">
        <v>31</v>
      </c>
      <c r="D6" s="11">
        <v>150</v>
      </c>
      <c r="E6" s="11">
        <v>140</v>
      </c>
      <c r="F6" s="1">
        <v>123.4</v>
      </c>
      <c r="G6" s="1">
        <f t="shared" si="1"/>
        <v>0.12340000000000001</v>
      </c>
      <c r="H6" s="1">
        <f>-14/1000</f>
        <v>-1.4E-2</v>
      </c>
      <c r="I6" s="1">
        <f>4*ABS(H6)/(PI()*G6^2)</f>
        <v>1.170598154024169</v>
      </c>
      <c r="J6" s="1">
        <f>I6*G6/(10^(-6))</f>
        <v>144451.81220658246</v>
      </c>
      <c r="K6" s="1">
        <f>0.25/(LOG10(5.74/J6^0.9+10^(-4)/3.7/G6))^2</f>
        <v>2.0922694446197182E-2</v>
      </c>
      <c r="L6" s="1">
        <f>8*K6*D6/(PI()^2*9.81*G6^5)</f>
        <v>9062.6312117361431</v>
      </c>
      <c r="M6" s="1">
        <f t="shared" si="2"/>
        <v>-1.7762757175002841</v>
      </c>
      <c r="O6">
        <f>M6/H6</f>
        <v>126.87683696430601</v>
      </c>
      <c r="P6" s="1">
        <f t="shared" si="3"/>
        <v>-14</v>
      </c>
    </row>
    <row r="7" spans="1:16" x14ac:dyDescent="0.25">
      <c r="C7" s="1"/>
      <c r="D7" s="1"/>
      <c r="E7" s="1"/>
      <c r="F7" s="1"/>
      <c r="G7" s="1"/>
      <c r="H7" s="1"/>
      <c r="I7" s="1"/>
      <c r="J7" s="1"/>
      <c r="K7" s="1"/>
      <c r="L7" s="2" t="s">
        <v>23</v>
      </c>
      <c r="M7" s="1">
        <f>SUM(M4:M6)</f>
        <v>0.90515255383762394</v>
      </c>
      <c r="N7" s="2" t="s">
        <v>27</v>
      </c>
      <c r="O7">
        <f>SUM(O4:O6)</f>
        <v>505.45083859498266</v>
      </c>
    </row>
    <row r="8" spans="1:16" x14ac:dyDescent="0.25">
      <c r="N8" s="2" t="s">
        <v>34</v>
      </c>
      <c r="O8">
        <f>-M7/(2*O7)</f>
        <v>-8.9539128706730856E-4</v>
      </c>
      <c r="P8">
        <f>O8*1000</f>
        <v>-0.89539128706730853</v>
      </c>
    </row>
    <row r="10" spans="1:16" x14ac:dyDescent="0.25">
      <c r="A10" s="2" t="s">
        <v>29</v>
      </c>
      <c r="C10" s="2" t="s">
        <v>21</v>
      </c>
      <c r="D10" s="2" t="s">
        <v>4</v>
      </c>
      <c r="E10" s="2" t="s">
        <v>26</v>
      </c>
      <c r="F10" s="2" t="s">
        <v>24</v>
      </c>
      <c r="G10" s="2" t="s">
        <v>25</v>
      </c>
      <c r="H10" s="2" t="s">
        <v>7</v>
      </c>
      <c r="I10" s="2" t="s">
        <v>9</v>
      </c>
      <c r="J10" s="2" t="s">
        <v>0</v>
      </c>
      <c r="K10" s="2" t="s">
        <v>1</v>
      </c>
      <c r="L10" s="2" t="s">
        <v>2</v>
      </c>
      <c r="M10" s="2" t="s">
        <v>28</v>
      </c>
      <c r="O10" s="2" t="s">
        <v>3</v>
      </c>
      <c r="P10" s="2" t="s">
        <v>33</v>
      </c>
    </row>
    <row r="11" spans="1:16" x14ac:dyDescent="0.25">
      <c r="C11" s="1">
        <v>12</v>
      </c>
      <c r="D11" s="1">
        <v>200</v>
      </c>
      <c r="E11" s="1">
        <v>160</v>
      </c>
      <c r="F11" s="1">
        <v>141</v>
      </c>
      <c r="G11" s="1">
        <f>F11/1000</f>
        <v>0.14099999999999999</v>
      </c>
      <c r="H11" s="1">
        <f>H4+$O$8</f>
        <v>1.5104608712932692E-2</v>
      </c>
      <c r="I11" s="1">
        <f>4*ABS(H11)/(PI()*G11^2)</f>
        <v>0.96734495855626967</v>
      </c>
      <c r="J11" s="1">
        <f>I11*G11/(10^(-6))</f>
        <v>136395.63915643402</v>
      </c>
      <c r="K11" s="1">
        <f>0.25/(LOG10(5.74/J11^0.9+10^(-4)/3.7/G11))^2</f>
        <v>2.0609499370661769E-2</v>
      </c>
      <c r="L11" s="1">
        <f>8*K11*D11/(PI()^2*9.81*G11^5)</f>
        <v>6111.1523252859597</v>
      </c>
      <c r="M11" s="1">
        <f>L11*H11*ABS(H11)</f>
        <v>1.3942545408027696</v>
      </c>
      <c r="O11">
        <f>M11/H11</f>
        <v>92.306564658573194</v>
      </c>
      <c r="P11" s="1">
        <f>H11*1000</f>
        <v>15.104608712932693</v>
      </c>
    </row>
    <row r="12" spans="1:16" x14ac:dyDescent="0.25">
      <c r="C12" s="1">
        <v>23</v>
      </c>
      <c r="D12" s="1">
        <v>300</v>
      </c>
      <c r="E12" s="1">
        <v>110</v>
      </c>
      <c r="F12" s="1">
        <v>96.8</v>
      </c>
      <c r="G12" s="1">
        <f t="shared" ref="G12:G13" si="4">F12/1000</f>
        <v>9.6799999999999997E-2</v>
      </c>
      <c r="H12" s="1">
        <f t="shared" ref="H12:H13" si="5">H5+$O$8</f>
        <v>3.1046087129326916E-3</v>
      </c>
      <c r="I12" s="1">
        <f t="shared" ref="I12" si="6">4*ABS(H12)/(PI()*G12^2)</f>
        <v>0.4218579870136987</v>
      </c>
      <c r="J12" s="1">
        <f>I12*G12/(10^(-6))</f>
        <v>40835.853142926033</v>
      </c>
      <c r="K12" s="1">
        <f>0.25/(LOG10(5.74/J12^0.9+10^(-4)/3.7/G12))^2</f>
        <v>2.4974149617461489E-2</v>
      </c>
      <c r="L12" s="1">
        <f>8*K12*D12/(PI()^2*9.81*G12^5)</f>
        <v>72837.731531009515</v>
      </c>
      <c r="M12" s="1">
        <f t="shared" ref="M12:M13" si="7">L12*H12*ABS(H12)</f>
        <v>0.70205341391435672</v>
      </c>
      <c r="O12">
        <f>M12/H12</f>
        <v>226.13265594142439</v>
      </c>
      <c r="P12" s="1">
        <f t="shared" ref="P12:P13" si="8">H12*1000</f>
        <v>3.1046087129326918</v>
      </c>
    </row>
    <row r="13" spans="1:16" x14ac:dyDescent="0.25">
      <c r="C13" s="1">
        <v>31</v>
      </c>
      <c r="D13" s="1">
        <v>150</v>
      </c>
      <c r="E13" s="1">
        <v>140</v>
      </c>
      <c r="F13" s="1">
        <v>123.4</v>
      </c>
      <c r="G13" s="1">
        <f t="shared" si="4"/>
        <v>0.12340000000000001</v>
      </c>
      <c r="H13" s="1">
        <f t="shared" si="5"/>
        <v>-1.4895391287067308E-2</v>
      </c>
      <c r="I13" s="1">
        <f>4*ABS(H13)/(PI()*G13^2)</f>
        <v>1.2454655388649059</v>
      </c>
      <c r="J13" s="1">
        <f>I13*G13/(10^(-6))</f>
        <v>153690.4474959294</v>
      </c>
      <c r="K13" s="1">
        <f>0.25/(LOG10(5.74/J13^0.9+10^(-4)/3.7/G13))^2</f>
        <v>2.0815560490128341E-2</v>
      </c>
      <c r="L13" s="1">
        <f>8*K13*D13/(PI()^2*9.81*G13^5)</f>
        <v>9016.2263121854212</v>
      </c>
      <c r="M13" s="1">
        <f t="shared" si="7"/>
        <v>-2.0004543097505407</v>
      </c>
      <c r="O13">
        <f>M13/H13</f>
        <v>134.30021885275374</v>
      </c>
      <c r="P13" s="1">
        <f t="shared" si="8"/>
        <v>-14.895391287067309</v>
      </c>
    </row>
    <row r="14" spans="1:16" x14ac:dyDescent="0.25">
      <c r="C14" s="1"/>
      <c r="D14" s="1"/>
      <c r="E14" s="1"/>
      <c r="F14" s="1"/>
      <c r="G14" s="1"/>
      <c r="H14" s="1"/>
      <c r="I14" s="1"/>
      <c r="J14" s="1"/>
      <c r="K14" s="1"/>
      <c r="L14" s="2" t="s">
        <v>23</v>
      </c>
      <c r="M14" s="1">
        <f>SUM(M11:M13)</f>
        <v>9.5853644966585438E-2</v>
      </c>
      <c r="N14" s="2" t="s">
        <v>27</v>
      </c>
      <c r="O14">
        <f>SUM(O11:O13)</f>
        <v>452.73943945275136</v>
      </c>
    </row>
    <row r="15" spans="1:16" x14ac:dyDescent="0.25">
      <c r="N15" s="2" t="s">
        <v>34</v>
      </c>
      <c r="O15">
        <f>-M14/(2*O14)</f>
        <v>-1.0585961439812765E-4</v>
      </c>
      <c r="P15">
        <f>O15*1000</f>
        <v>-0.10585961439812765</v>
      </c>
    </row>
    <row r="17" spans="1:16" x14ac:dyDescent="0.25">
      <c r="A17" s="2" t="s">
        <v>30</v>
      </c>
      <c r="C17" s="2" t="s">
        <v>21</v>
      </c>
      <c r="D17" s="2" t="s">
        <v>4</v>
      </c>
      <c r="E17" s="2" t="s">
        <v>26</v>
      </c>
      <c r="F17" s="2" t="s">
        <v>24</v>
      </c>
      <c r="G17" s="2" t="s">
        <v>25</v>
      </c>
      <c r="H17" s="2" t="s">
        <v>7</v>
      </c>
      <c r="I17" s="2" t="s">
        <v>9</v>
      </c>
      <c r="J17" s="2" t="s">
        <v>0</v>
      </c>
      <c r="K17" s="2" t="s">
        <v>1</v>
      </c>
      <c r="L17" s="2" t="s">
        <v>2</v>
      </c>
      <c r="M17" s="17" t="s">
        <v>28</v>
      </c>
      <c r="O17" s="2" t="s">
        <v>3</v>
      </c>
      <c r="P17" s="17" t="s">
        <v>33</v>
      </c>
    </row>
    <row r="18" spans="1:16" x14ac:dyDescent="0.25">
      <c r="C18" s="1">
        <v>12</v>
      </c>
      <c r="D18" s="1">
        <v>200</v>
      </c>
      <c r="E18" s="1">
        <v>160</v>
      </c>
      <c r="F18" s="1">
        <v>141</v>
      </c>
      <c r="G18" s="1">
        <f>F18/1000</f>
        <v>0.14099999999999999</v>
      </c>
      <c r="H18" s="1">
        <f>H11+$O$15</f>
        <v>1.4998749098534565E-2</v>
      </c>
      <c r="I18" s="1">
        <f>4*ABS(H18)/(PI()*G18^2)</f>
        <v>0.96056538774785394</v>
      </c>
      <c r="J18" s="1">
        <f>I18*G18/(10^(-6))</f>
        <v>135439.71967244739</v>
      </c>
      <c r="K18" s="1">
        <f>0.25/(LOG10(5.74/J18^0.9+10^(-4)/3.7/G18))^2</f>
        <v>2.0623107680014734E-2</v>
      </c>
      <c r="L18" s="1">
        <f>8*K18*D18/(PI()^2*9.81*G18^5)</f>
        <v>6115.1874767396594</v>
      </c>
      <c r="M18" s="18">
        <f>L18*H18*ABS(H18)</f>
        <v>1.3756877069259084</v>
      </c>
      <c r="O18">
        <f>M18/H18</f>
        <v>91.720162654118823</v>
      </c>
      <c r="P18" s="18">
        <f>H18*1000</f>
        <v>14.998749098534566</v>
      </c>
    </row>
    <row r="19" spans="1:16" x14ac:dyDescent="0.25">
      <c r="C19" s="1">
        <v>23</v>
      </c>
      <c r="D19" s="1">
        <v>300</v>
      </c>
      <c r="E19" s="1">
        <v>110</v>
      </c>
      <c r="F19" s="1">
        <v>96.8</v>
      </c>
      <c r="G19" s="1">
        <f t="shared" ref="G19:G20" si="9">F19/1000</f>
        <v>9.6799999999999997E-2</v>
      </c>
      <c r="H19" s="1">
        <f>H12+$O$15</f>
        <v>2.998749098534564E-3</v>
      </c>
      <c r="I19" s="1">
        <f t="shared" ref="I19" si="10">4*ABS(H19)/(PI()*G19^2)</f>
        <v>0.40747365456948037</v>
      </c>
      <c r="J19" s="1">
        <f>I19*G19/(10^(-6))</f>
        <v>39443.449762325705</v>
      </c>
      <c r="K19" s="1">
        <f>0.25/(LOG10(5.74/J19^0.9+10^(-4)/3.7/G19))^2</f>
        <v>2.5102341656247466E-2</v>
      </c>
      <c r="L19" s="1">
        <f>8*K19*D19/(PI()^2*9.81*G19^5)</f>
        <v>73211.606815995285</v>
      </c>
      <c r="M19" s="18">
        <f t="shared" ref="M19:M20" si="11">L19*H19*ABS(H19)</f>
        <v>0.65835509286462868</v>
      </c>
      <c r="O19">
        <f>M19/H19</f>
        <v>219.54323994173279</v>
      </c>
      <c r="P19" s="18">
        <f t="shared" ref="P19:P20" si="12">H19*1000</f>
        <v>2.9987490985345642</v>
      </c>
    </row>
    <row r="20" spans="1:16" x14ac:dyDescent="0.25">
      <c r="C20" s="1">
        <v>31</v>
      </c>
      <c r="D20" s="1">
        <v>150</v>
      </c>
      <c r="E20" s="1">
        <v>140</v>
      </c>
      <c r="F20" s="1">
        <v>123.4</v>
      </c>
      <c r="G20" s="1">
        <f t="shared" si="9"/>
        <v>0.12340000000000001</v>
      </c>
      <c r="H20" s="1">
        <f>H13+$O$15</f>
        <v>-1.5001250901465436E-2</v>
      </c>
      <c r="I20" s="1">
        <f>4*ABS(H20)/(PI()*G20^2)</f>
        <v>1.2543169009506314</v>
      </c>
      <c r="J20" s="1">
        <f>I20*G20/(10^(-6))</f>
        <v>154782.70557730793</v>
      </c>
      <c r="K20" s="1">
        <f>0.25/(LOG10(5.74/J20^0.9+10^(-4)/3.7/G20))^2</f>
        <v>2.0803613853202271E-2</v>
      </c>
      <c r="L20" s="1">
        <f>8*K20*D20/(PI()^2*9.81*G20^5)</f>
        <v>9011.0516457503745</v>
      </c>
      <c r="M20" s="18">
        <f t="shared" si="11"/>
        <v>-2.0278247925251813</v>
      </c>
      <c r="O20">
        <f>M20/H20</f>
        <v>135.1770466239644</v>
      </c>
      <c r="P20" s="18">
        <f t="shared" si="12"/>
        <v>-15.001250901465436</v>
      </c>
    </row>
    <row r="21" spans="1:16" x14ac:dyDescent="0.25">
      <c r="C21" s="1"/>
      <c r="D21" s="1"/>
      <c r="E21" s="1"/>
      <c r="F21" s="1"/>
      <c r="G21" s="1"/>
      <c r="H21" s="1"/>
      <c r="I21" s="1"/>
      <c r="J21" s="1"/>
      <c r="K21" s="1"/>
      <c r="L21" s="2" t="s">
        <v>23</v>
      </c>
      <c r="M21" s="1">
        <f>SUM(M18:M20)</f>
        <v>6.2180072653559293E-3</v>
      </c>
      <c r="N21" s="2" t="s">
        <v>27</v>
      </c>
      <c r="O21">
        <f>SUM(O18:O20)</f>
        <v>446.44044921981606</v>
      </c>
    </row>
    <row r="22" spans="1:16" x14ac:dyDescent="0.25">
      <c r="N22" s="2" t="s">
        <v>34</v>
      </c>
      <c r="O22">
        <f>-M21/(2*O21)</f>
        <v>-6.9639828517132622E-6</v>
      </c>
      <c r="P22">
        <f>O22*1000</f>
        <v>-6.9639828517132621E-3</v>
      </c>
    </row>
    <row r="23" spans="1:16" x14ac:dyDescent="0.25">
      <c r="A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O23" s="2"/>
    </row>
    <row r="24" spans="1:16" x14ac:dyDescent="0.25">
      <c r="A24" s="2" t="s">
        <v>31</v>
      </c>
      <c r="C24" s="2" t="s">
        <v>21</v>
      </c>
      <c r="D24" s="2" t="s">
        <v>4</v>
      </c>
      <c r="E24" s="2" t="s">
        <v>26</v>
      </c>
      <c r="F24" s="2" t="s">
        <v>24</v>
      </c>
      <c r="G24" s="2" t="s">
        <v>25</v>
      </c>
      <c r="H24" s="2" t="s">
        <v>7</v>
      </c>
      <c r="I24" s="2" t="s">
        <v>9</v>
      </c>
      <c r="J24" s="2" t="s">
        <v>0</v>
      </c>
      <c r="K24" s="2" t="s">
        <v>1</v>
      </c>
      <c r="L24" s="2" t="s">
        <v>2</v>
      </c>
      <c r="M24" s="17" t="s">
        <v>28</v>
      </c>
      <c r="O24" s="2" t="s">
        <v>3</v>
      </c>
      <c r="P24" s="17" t="s">
        <v>33</v>
      </c>
    </row>
    <row r="25" spans="1:16" x14ac:dyDescent="0.25">
      <c r="C25" s="1">
        <v>12</v>
      </c>
      <c r="D25" s="1">
        <v>200</v>
      </c>
      <c r="E25" s="1">
        <v>160</v>
      </c>
      <c r="F25" s="1">
        <v>141</v>
      </c>
      <c r="G25" s="1">
        <f>F25/1000</f>
        <v>0.14099999999999999</v>
      </c>
      <c r="H25" s="1">
        <f>H18+$O$22</f>
        <v>1.4991785115682851E-2</v>
      </c>
      <c r="I25" s="1">
        <f>4*ABS(H25)/(PI()*G25^2)</f>
        <v>0.96011939316228689</v>
      </c>
      <c r="J25" s="1">
        <f>I25*G25/(10^(-6))</f>
        <v>135376.83443588245</v>
      </c>
      <c r="K25" s="1">
        <f>0.25/(LOG10(5.74/J25^0.9+10^(-4)/3.7/G25))^2</f>
        <v>2.0624008507726374E-2</v>
      </c>
      <c r="L25" s="1">
        <f>8*K25*D25/(PI()^2*9.81*G25^5)</f>
        <v>6115.454591203028</v>
      </c>
      <c r="M25" s="18">
        <f>L25*H25*ABS(H25)</f>
        <v>1.3744705631575971</v>
      </c>
      <c r="O25">
        <f>M25/H25</f>
        <v>91.681581116031907</v>
      </c>
      <c r="P25" s="18">
        <f>H25*1000</f>
        <v>14.99178511568285</v>
      </c>
    </row>
    <row r="26" spans="1:16" x14ac:dyDescent="0.25">
      <c r="C26" s="1">
        <v>23</v>
      </c>
      <c r="D26" s="1">
        <v>300</v>
      </c>
      <c r="E26" s="1">
        <v>110</v>
      </c>
      <c r="F26" s="1">
        <v>96.8</v>
      </c>
      <c r="G26" s="1">
        <f t="shared" ref="G26:G27" si="13">F26/1000</f>
        <v>9.6799999999999997E-2</v>
      </c>
      <c r="H26" s="1">
        <f t="shared" ref="H26" si="14">H19+$O$22</f>
        <v>2.9917851156828507E-3</v>
      </c>
      <c r="I26" s="1">
        <f t="shared" ref="I26" si="15">4*ABS(H26)/(PI()*G26^2)</f>
        <v>0.40652738015648149</v>
      </c>
      <c r="J26" s="1">
        <f>I26*G26/(10^(-6))</f>
        <v>39351.850399147414</v>
      </c>
      <c r="K26" s="1">
        <f>0.25/(LOG10(5.74/J26^0.9+10^(-4)/3.7/G26))^2</f>
        <v>2.5111025940358491E-2</v>
      </c>
      <c r="L26" s="1">
        <f>8*K26*D26/(PI()^2*9.81*G26^5)</f>
        <v>73236.934747648891</v>
      </c>
      <c r="M26" s="18">
        <f t="shared" ref="M26:M27" si="16">L26*H26*ABS(H26)</f>
        <v>0.65552755739373125</v>
      </c>
      <c r="O26">
        <f>M26/H26</f>
        <v>219.10917129625213</v>
      </c>
      <c r="P26" s="18">
        <f t="shared" ref="P26:P27" si="17">H26*1000</f>
        <v>2.9917851156828505</v>
      </c>
    </row>
    <row r="27" spans="1:16" x14ac:dyDescent="0.25">
      <c r="C27" s="1">
        <v>31</v>
      </c>
      <c r="D27" s="1">
        <v>150</v>
      </c>
      <c r="E27" s="1">
        <v>140</v>
      </c>
      <c r="F27" s="1">
        <v>123.4</v>
      </c>
      <c r="G27" s="1">
        <f t="shared" si="13"/>
        <v>0.12340000000000001</v>
      </c>
      <c r="H27" s="1">
        <f>H20+$O$22</f>
        <v>-1.500821488431715E-2</v>
      </c>
      <c r="I27" s="1">
        <f>4*ABS(H27)/(PI()*G27^2)</f>
        <v>1.2548991884842651</v>
      </c>
      <c r="J27" s="1">
        <f>I27*G27/(10^(-6))</f>
        <v>154854.55985895832</v>
      </c>
      <c r="K27" s="1">
        <f>0.25/(LOG10(5.74/J27^0.9+10^(-4)/3.7/G27))^2</f>
        <v>2.0802832961480413E-2</v>
      </c>
      <c r="L27" s="1">
        <f>8*K27*D27/(PI()^2*9.81*G27^5)</f>
        <v>9010.7134037658288</v>
      </c>
      <c r="M27" s="18">
        <f t="shared" si="16"/>
        <v>-2.0296317829760251</v>
      </c>
      <c r="O27">
        <f>M27/H27</f>
        <v>135.23472302471436</v>
      </c>
      <c r="P27" s="18">
        <f t="shared" si="17"/>
        <v>-15.00821488431715</v>
      </c>
    </row>
    <row r="28" spans="1:16" x14ac:dyDescent="0.25">
      <c r="C28" s="1"/>
      <c r="D28" s="1"/>
      <c r="E28" s="1"/>
      <c r="F28" s="1"/>
      <c r="G28" s="1"/>
      <c r="H28" s="1"/>
      <c r="I28" s="1"/>
      <c r="J28" s="1"/>
      <c r="K28" s="1"/>
      <c r="L28" s="2" t="s">
        <v>23</v>
      </c>
      <c r="M28" s="1">
        <f>SUM(M25:M27)</f>
        <v>3.6633757530335487E-4</v>
      </c>
      <c r="N28" s="2" t="s">
        <v>27</v>
      </c>
      <c r="O28">
        <f>SUM(O25:O27)</f>
        <v>446.02547543699842</v>
      </c>
    </row>
    <row r="29" spans="1:16" x14ac:dyDescent="0.25">
      <c r="N29" s="2" t="s">
        <v>34</v>
      </c>
      <c r="O29">
        <f>-M28/(2*O28)</f>
        <v>-4.1066889166412699E-7</v>
      </c>
      <c r="P29">
        <f>O29*1000</f>
        <v>-4.1066889166412697E-4</v>
      </c>
    </row>
    <row r="31" spans="1:16" x14ac:dyDescent="0.25">
      <c r="A31" s="2" t="s">
        <v>32</v>
      </c>
      <c r="C31" s="2" t="s">
        <v>21</v>
      </c>
      <c r="D31" s="2" t="s">
        <v>4</v>
      </c>
      <c r="E31" s="2" t="s">
        <v>26</v>
      </c>
      <c r="F31" s="2" t="s">
        <v>24</v>
      </c>
      <c r="G31" s="2" t="s">
        <v>25</v>
      </c>
      <c r="H31" s="2" t="s">
        <v>7</v>
      </c>
      <c r="I31" s="2" t="s">
        <v>9</v>
      </c>
      <c r="J31" s="2" t="s">
        <v>0</v>
      </c>
      <c r="K31" s="2" t="s">
        <v>1</v>
      </c>
      <c r="L31" s="2" t="s">
        <v>2</v>
      </c>
      <c r="M31" s="17" t="s">
        <v>28</v>
      </c>
      <c r="O31" s="2" t="s">
        <v>3</v>
      </c>
      <c r="P31" s="17" t="s">
        <v>33</v>
      </c>
    </row>
    <row r="32" spans="1:16" x14ac:dyDescent="0.25">
      <c r="C32" s="1">
        <v>12</v>
      </c>
      <c r="D32" s="1">
        <v>200</v>
      </c>
      <c r="E32" s="1">
        <v>160</v>
      </c>
      <c r="F32" s="1">
        <v>141</v>
      </c>
      <c r="G32" s="1">
        <f>F32/1000</f>
        <v>0.14099999999999999</v>
      </c>
      <c r="H32" s="1">
        <f>H25+$O$29</f>
        <v>1.4991374446791187E-2</v>
      </c>
      <c r="I32" s="1">
        <f>4*ABS(H32)/(PI()*G32^2)</f>
        <v>0.96009309268078902</v>
      </c>
      <c r="J32" s="1">
        <f>I32*G32/(10^(-6))</f>
        <v>135373.12606799125</v>
      </c>
      <c r="K32" s="1">
        <f>0.25/(LOG10(5.74/J32^0.9+10^(-4)/3.7/G32))^2</f>
        <v>2.062406165164388E-2</v>
      </c>
      <c r="L32" s="1">
        <f>8*K32*D32/(PI()^2*9.81*G32^5)</f>
        <v>6115.4703494982305</v>
      </c>
      <c r="M32" s="18">
        <f>L32*H32*ABS(H32)</f>
        <v>1.3743988041822288</v>
      </c>
      <c r="O32">
        <f>M32/H32</f>
        <v>91.679305927576948</v>
      </c>
      <c r="P32" s="18">
        <f>H32*1000</f>
        <v>14.991374446791188</v>
      </c>
    </row>
    <row r="33" spans="3:16" x14ac:dyDescent="0.25">
      <c r="C33" s="1">
        <v>23</v>
      </c>
      <c r="D33" s="1">
        <v>300</v>
      </c>
      <c r="E33" s="1">
        <v>110</v>
      </c>
      <c r="F33" s="1">
        <v>96.8</v>
      </c>
      <c r="G33" s="1">
        <f t="shared" ref="G33:G34" si="18">F33/1000</f>
        <v>9.6799999999999997E-2</v>
      </c>
      <c r="H33" s="1">
        <f t="shared" ref="H33:H34" si="19">H26+$O$29</f>
        <v>2.9913744467911867E-3</v>
      </c>
      <c r="I33" s="1">
        <f t="shared" ref="I33" si="20">4*ABS(H33)/(PI()*G33^2)</f>
        <v>0.40647157797076811</v>
      </c>
      <c r="J33" s="1">
        <f>I33*G33/(10^(-6))</f>
        <v>39346.448747570357</v>
      </c>
      <c r="K33" s="1">
        <f>0.25/(LOG10(5.74/J33^0.9+10^(-4)/3.7/G33))^2</f>
        <v>2.5111539054985563E-2</v>
      </c>
      <c r="L33" s="1">
        <f>8*K33*D33/(PI()^2*9.81*G33^5)</f>
        <v>73238.431259282865</v>
      </c>
      <c r="M33" s="18">
        <f t="shared" ref="M33:M34" si="21">L33*H33*ABS(H33)</f>
        <v>0.65536099837060535</v>
      </c>
      <c r="O33">
        <f>M33/H33</f>
        <v>219.08357179209165</v>
      </c>
      <c r="P33" s="18">
        <f t="shared" ref="P33:P34" si="22">H33*1000</f>
        <v>2.9913744467911867</v>
      </c>
    </row>
    <row r="34" spans="3:16" x14ac:dyDescent="0.25">
      <c r="C34" s="1">
        <v>31</v>
      </c>
      <c r="D34" s="1">
        <v>150</v>
      </c>
      <c r="E34" s="1">
        <v>140</v>
      </c>
      <c r="F34" s="1">
        <v>123.4</v>
      </c>
      <c r="G34" s="1">
        <f t="shared" si="18"/>
        <v>0.12340000000000001</v>
      </c>
      <c r="H34" s="1">
        <f t="shared" si="19"/>
        <v>-1.5008625553208813E-2</v>
      </c>
      <c r="I34" s="1">
        <f>4*ABS(H34)/(PI()*G34^2)</f>
        <v>1.2549335262161576</v>
      </c>
      <c r="J34" s="1">
        <f>I34*G34/(10^(-6))</f>
        <v>154858.79713507387</v>
      </c>
      <c r="K34" s="1">
        <f>0.25/(LOG10(5.74/J34^0.9+10^(-4)/3.7/G34))^2</f>
        <v>2.0802786931195864E-2</v>
      </c>
      <c r="L34" s="1">
        <f>8*K34*D34/(PI()^2*9.81*G34^5)</f>
        <v>9010.693465822631</v>
      </c>
      <c r="M34" s="18">
        <f t="shared" si="21"/>
        <v>-2.0297383666853337</v>
      </c>
      <c r="O34">
        <f>M34/H34</f>
        <v>135.23812420327721</v>
      </c>
      <c r="P34" s="18">
        <f t="shared" si="22"/>
        <v>-15.008625553208812</v>
      </c>
    </row>
    <row r="35" spans="3:16" x14ac:dyDescent="0.25">
      <c r="C35" s="1"/>
      <c r="D35" s="1"/>
      <c r="E35" s="1"/>
      <c r="F35" s="1"/>
      <c r="G35" s="1"/>
      <c r="H35" s="1"/>
      <c r="I35" s="1"/>
      <c r="J35" s="1"/>
      <c r="K35" s="1"/>
      <c r="L35" s="2" t="s">
        <v>23</v>
      </c>
      <c r="M35" s="1">
        <f>SUM(M32:M34)</f>
        <v>2.1435867500585459E-5</v>
      </c>
      <c r="N35" s="2" t="s">
        <v>27</v>
      </c>
      <c r="O35">
        <f>SUM(O32:O34)</f>
        <v>446.00100192294582</v>
      </c>
    </row>
    <row r="36" spans="3:16" x14ac:dyDescent="0.25">
      <c r="N36" s="2" t="s">
        <v>34</v>
      </c>
      <c r="O36">
        <f>-M35/(2*O35)</f>
        <v>-2.4031187607386659E-8</v>
      </c>
      <c r="P36">
        <f>O36*1000</f>
        <v>-2.4031187607386658E-5</v>
      </c>
    </row>
  </sheetData>
  <mergeCells count="1">
    <mergeCell ref="C2: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tabSelected="1" topLeftCell="B13" workbookViewId="0">
      <selection activeCell="B6" sqref="B6"/>
    </sheetView>
  </sheetViews>
  <sheetFormatPr defaultRowHeight="15" x14ac:dyDescent="0.25"/>
  <cols>
    <col min="2" max="3" width="12" customWidth="1"/>
    <col min="7" max="7" width="11.28515625" customWidth="1"/>
    <col min="8" max="8" width="18" customWidth="1"/>
    <col min="11" max="11" width="13.28515625" customWidth="1"/>
    <col min="12" max="12" width="12" bestFit="1" customWidth="1"/>
    <col min="13" max="13" width="13.85546875" customWidth="1"/>
    <col min="14" max="14" width="12" bestFit="1" customWidth="1"/>
    <col min="15" max="15" width="12.140625" customWidth="1"/>
    <col min="16" max="16" width="12.5703125" customWidth="1"/>
    <col min="17" max="17" width="13.140625" customWidth="1"/>
  </cols>
  <sheetData>
    <row r="1" spans="2:18" x14ac:dyDescent="0.25">
      <c r="B1" s="28" t="s">
        <v>19</v>
      </c>
      <c r="C1" s="28"/>
    </row>
    <row r="2" spans="2:18" x14ac:dyDescent="0.25">
      <c r="B2" s="3" t="s">
        <v>10</v>
      </c>
      <c r="C2" s="3">
        <f>10^(-6)</f>
        <v>9.9999999999999995E-7</v>
      </c>
      <c r="K2" s="30" t="s">
        <v>20</v>
      </c>
      <c r="L2" s="30"/>
      <c r="N2" s="6"/>
      <c r="O2" s="6"/>
    </row>
    <row r="3" spans="2:18" x14ac:dyDescent="0.25">
      <c r="B3" s="3" t="s">
        <v>11</v>
      </c>
      <c r="C3" s="3">
        <f>0.1/1000</f>
        <v>1E-4</v>
      </c>
      <c r="K3" s="4" t="s">
        <v>15</v>
      </c>
      <c r="L3" s="5">
        <v>-1.4778339535369207E-3</v>
      </c>
      <c r="M3" s="7" t="s">
        <v>17</v>
      </c>
      <c r="N3" s="6">
        <f>L3*1000</f>
        <v>-1.4778339535369207</v>
      </c>
    </row>
    <row r="4" spans="2:18" x14ac:dyDescent="0.25">
      <c r="K4" s="4" t="s">
        <v>16</v>
      </c>
      <c r="L4" s="5">
        <v>-7.2248933426991612E-3</v>
      </c>
      <c r="M4" s="7" t="s">
        <v>18</v>
      </c>
      <c r="N4" s="6">
        <f>L4*1000</f>
        <v>-7.2248933426991613</v>
      </c>
    </row>
    <row r="5" spans="2:18" x14ac:dyDescent="0.25">
      <c r="D5" s="28" t="s">
        <v>19</v>
      </c>
      <c r="E5" s="28"/>
      <c r="P5" s="31" t="s">
        <v>22</v>
      </c>
      <c r="Q5" s="31"/>
    </row>
    <row r="6" spans="2:18" x14ac:dyDescent="0.25">
      <c r="C6" s="11" t="s">
        <v>21</v>
      </c>
      <c r="D6" s="10" t="s">
        <v>4</v>
      </c>
      <c r="E6" s="10" t="s">
        <v>5</v>
      </c>
      <c r="F6" s="2" t="s">
        <v>6</v>
      </c>
      <c r="G6" s="2" t="s">
        <v>7</v>
      </c>
      <c r="H6" s="2" t="s">
        <v>8</v>
      </c>
      <c r="I6" s="2" t="s">
        <v>9</v>
      </c>
      <c r="J6" s="2" t="s">
        <v>0</v>
      </c>
      <c r="K6" s="2"/>
      <c r="L6" s="2"/>
      <c r="M6" s="2"/>
      <c r="N6" s="2" t="s">
        <v>1</v>
      </c>
      <c r="O6" s="2" t="s">
        <v>12</v>
      </c>
      <c r="P6" s="12" t="s">
        <v>28</v>
      </c>
      <c r="Q6" s="12" t="s">
        <v>6</v>
      </c>
      <c r="R6" s="2"/>
    </row>
    <row r="7" spans="2:18" x14ac:dyDescent="0.25">
      <c r="C7" s="11">
        <v>12</v>
      </c>
      <c r="D7" s="11">
        <v>100</v>
      </c>
      <c r="E7" s="11">
        <v>0.14099999999999999</v>
      </c>
      <c r="F7" s="1">
        <v>17</v>
      </c>
      <c r="G7" s="1">
        <f>F7/1000</f>
        <v>1.7000000000000001E-2</v>
      </c>
      <c r="H7" s="1">
        <f>G7+L3</f>
        <v>1.552216604646308E-2</v>
      </c>
      <c r="I7" s="1">
        <f>ABS(4*G7/PI()/E7^2)</f>
        <v>1.0887315658416463</v>
      </c>
      <c r="J7" s="1">
        <f>I7*E7/$C$2</f>
        <v>153511.15078367211</v>
      </c>
      <c r="K7" s="1">
        <f>5.74/J7^0.9</f>
        <v>1.2342011813537231E-4</v>
      </c>
      <c r="L7" s="1">
        <f>$C$3/E7/3.7</f>
        <v>1.9168104274487255E-4</v>
      </c>
      <c r="M7" s="1">
        <f>LOG10(K7+L7)</f>
        <v>-3.5015499968166197</v>
      </c>
      <c r="N7" s="1">
        <f>0.25/M7^2</f>
        <v>2.0390099501042199E-2</v>
      </c>
      <c r="O7" s="1">
        <f>8*N7*D7/9.81/PI()^2/E7^5</f>
        <v>3023.0478125050395</v>
      </c>
      <c r="P7" s="13">
        <f>O7*H7*ABS(H7)</f>
        <v>0.72836600184578326</v>
      </c>
      <c r="Q7" s="14">
        <f>H7*1000</f>
        <v>15.522166046463081</v>
      </c>
    </row>
    <row r="8" spans="2:18" x14ac:dyDescent="0.25">
      <c r="C8" s="11">
        <v>25</v>
      </c>
      <c r="D8" s="11">
        <v>120</v>
      </c>
      <c r="E8" s="11">
        <v>0.1234</v>
      </c>
      <c r="F8" s="1">
        <v>10</v>
      </c>
      <c r="G8" s="1">
        <f t="shared" ref="G8:G10" si="0">F8/1000</f>
        <v>0.01</v>
      </c>
      <c r="H8" s="1">
        <f>G8+L3-L4</f>
        <v>1.5747059389162241E-2</v>
      </c>
      <c r="I8" s="1">
        <f t="shared" ref="I8:I10" si="1">ABS(4*G8/PI()/E8^2)</f>
        <v>0.83614153858869245</v>
      </c>
      <c r="J8" s="1">
        <f>I8*E8/$C$2</f>
        <v>103179.86586184465</v>
      </c>
      <c r="K8" s="1">
        <f>5.74/J8^0.9</f>
        <v>1.7647225261136875E-4</v>
      </c>
      <c r="L8" s="1">
        <f>$C$3/E8/3.7</f>
        <v>2.1901966796618338E-4</v>
      </c>
      <c r="M8" s="1">
        <f t="shared" ref="M8:M10" si="2">LOG10(K8+L8)</f>
        <v>-3.4028623841876109</v>
      </c>
      <c r="N8" s="1">
        <f>0.25/M8^2</f>
        <v>2.1589930114305326E-2</v>
      </c>
      <c r="O8" s="1">
        <f>8*N8*D8/9.81/PI()^2/E8^5</f>
        <v>7481.3146085462522</v>
      </c>
      <c r="P8" s="13">
        <f t="shared" ref="P8:P10" si="3">O8*H8*ABS(H8)</f>
        <v>1.8551406812780842</v>
      </c>
      <c r="Q8" s="14">
        <f t="shared" ref="Q8:Q10" si="4">H8*1000</f>
        <v>15.747059389162242</v>
      </c>
    </row>
    <row r="9" spans="2:18" x14ac:dyDescent="0.25">
      <c r="C9" s="11">
        <v>56</v>
      </c>
      <c r="D9" s="11">
        <v>150</v>
      </c>
      <c r="E9" s="11">
        <v>0.1234</v>
      </c>
      <c r="F9" s="1">
        <f>-11</f>
        <v>-11</v>
      </c>
      <c r="G9" s="1">
        <f t="shared" si="0"/>
        <v>-1.0999999999999999E-2</v>
      </c>
      <c r="H9" s="1">
        <f>G9+L3</f>
        <v>-1.247783395353692E-2</v>
      </c>
      <c r="I9" s="1">
        <f t="shared" si="1"/>
        <v>0.9197556924475615</v>
      </c>
      <c r="J9" s="1">
        <f>I9*E9/$C$2</f>
        <v>113497.85244802909</v>
      </c>
      <c r="K9" s="1">
        <f>5.74/J9^0.9</f>
        <v>1.6196568522393215E-4</v>
      </c>
      <c r="L9" s="1">
        <f>$C$3/E9/3.7</f>
        <v>2.1901966796618338E-4</v>
      </c>
      <c r="M9" s="1">
        <f t="shared" si="2"/>
        <v>-3.419091720258717</v>
      </c>
      <c r="N9" s="1">
        <f>0.25/M9^2</f>
        <v>2.1385455555017013E-2</v>
      </c>
      <c r="O9" s="1">
        <f>8*N9*D9/9.81/PI()^2/E9^5</f>
        <v>9263.0754365061784</v>
      </c>
      <c r="P9" s="13">
        <f t="shared" si="3"/>
        <v>-1.4422269442015228</v>
      </c>
      <c r="Q9" s="14">
        <f t="shared" si="4"/>
        <v>-12.477833953536921</v>
      </c>
    </row>
    <row r="10" spans="2:18" x14ac:dyDescent="0.25">
      <c r="C10" s="11">
        <v>61</v>
      </c>
      <c r="D10" s="11">
        <v>100</v>
      </c>
      <c r="E10" s="11">
        <v>0.14099999999999999</v>
      </c>
      <c r="F10" s="1">
        <f>-18</f>
        <v>-18</v>
      </c>
      <c r="G10" s="1">
        <f t="shared" si="0"/>
        <v>-1.7999999999999999E-2</v>
      </c>
      <c r="H10" s="1">
        <f>G10+L3</f>
        <v>-1.947783395353692E-2</v>
      </c>
      <c r="I10" s="1">
        <f t="shared" si="1"/>
        <v>1.1527745991264491</v>
      </c>
      <c r="J10" s="1">
        <f>I10*E10/$C$2</f>
        <v>162541.21847682932</v>
      </c>
      <c r="K10" s="1">
        <f>5.74/J10^0.9</f>
        <v>1.1723161081392932E-4</v>
      </c>
      <c r="L10" s="1">
        <f>$C$3/E10/3.7</f>
        <v>1.9168104274487255E-4</v>
      </c>
      <c r="M10" s="1">
        <f t="shared" si="2"/>
        <v>-3.5101643019341826</v>
      </c>
      <c r="N10" s="1">
        <f>0.25/M10^2</f>
        <v>2.0290143489852117E-2</v>
      </c>
      <c r="O10" s="1">
        <f>8*N10*D10/9.81/PI()^2/E10^5</f>
        <v>3008.2282771241826</v>
      </c>
      <c r="P10" s="13">
        <f t="shared" si="3"/>
        <v>-1.1412797398374179</v>
      </c>
      <c r="Q10" s="14">
        <f t="shared" si="4"/>
        <v>-19.477833953536919</v>
      </c>
    </row>
    <row r="11" spans="2:18" x14ac:dyDescent="0.25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2" t="s">
        <v>13</v>
      </c>
      <c r="P11" s="15">
        <f>SUM(P7:P10)</f>
        <v>-9.150731283824598E-10</v>
      </c>
      <c r="Q11" s="16"/>
    </row>
    <row r="13" spans="2:18" x14ac:dyDescent="0.25">
      <c r="C13" s="1"/>
      <c r="D13" s="28" t="s">
        <v>19</v>
      </c>
      <c r="E13" s="28"/>
      <c r="F13" s="1"/>
      <c r="G13" s="1"/>
      <c r="H13" s="1"/>
      <c r="I13" s="1"/>
      <c r="J13" s="1"/>
      <c r="K13" s="1"/>
      <c r="L13" s="1"/>
      <c r="M13" s="1"/>
      <c r="N13" s="1"/>
      <c r="O13" s="1"/>
      <c r="P13" s="31" t="s">
        <v>22</v>
      </c>
      <c r="Q13" s="31"/>
    </row>
    <row r="14" spans="2:18" x14ac:dyDescent="0.25">
      <c r="C14" s="11" t="s">
        <v>21</v>
      </c>
      <c r="D14" s="10" t="s">
        <v>4</v>
      </c>
      <c r="E14" s="10" t="s">
        <v>5</v>
      </c>
      <c r="F14" s="2" t="s">
        <v>6</v>
      </c>
      <c r="G14" s="2" t="s">
        <v>7</v>
      </c>
      <c r="H14" s="2" t="s">
        <v>8</v>
      </c>
      <c r="I14" s="2" t="s">
        <v>9</v>
      </c>
      <c r="J14" s="2" t="s">
        <v>0</v>
      </c>
      <c r="K14" s="2"/>
      <c r="L14" s="2"/>
      <c r="M14" s="2"/>
      <c r="N14" s="2" t="s">
        <v>1</v>
      </c>
      <c r="O14" s="2" t="s">
        <v>12</v>
      </c>
      <c r="P14" s="12" t="s">
        <v>28</v>
      </c>
      <c r="Q14" s="12" t="s">
        <v>6</v>
      </c>
    </row>
    <row r="15" spans="2:18" x14ac:dyDescent="0.25">
      <c r="C15" s="11">
        <v>23</v>
      </c>
      <c r="D15" s="11">
        <v>300</v>
      </c>
      <c r="E15" s="11">
        <v>0.14099999999999999</v>
      </c>
      <c r="F15" s="1">
        <v>14</v>
      </c>
      <c r="G15" s="1">
        <f>F15/1000</f>
        <v>1.4E-2</v>
      </c>
      <c r="H15" s="1">
        <f>G15+L4</f>
        <v>6.7751066573008391E-3</v>
      </c>
      <c r="I15" s="1">
        <f>ABS(4*G15/PI()/E15^2)</f>
        <v>0.89660246598723814</v>
      </c>
      <c r="J15" s="1">
        <f>I15*E15/$C$2</f>
        <v>126420.94770420057</v>
      </c>
      <c r="K15" s="1">
        <f>5.74/J15^0.9</f>
        <v>1.4698558828147497E-4</v>
      </c>
      <c r="L15" s="1">
        <f>$C$3/E15/3.7</f>
        <v>1.9168104274487255E-4</v>
      </c>
      <c r="M15" s="1">
        <f>LOG10(K15+L15)</f>
        <v>-3.4702275924756836</v>
      </c>
      <c r="N15" s="1">
        <f>0.25/M15^2</f>
        <v>2.0759844274204055E-2</v>
      </c>
      <c r="O15" s="1">
        <f>8*N15*D15/9.81/PI()^2/E15^5</f>
        <v>9233.5991520595708</v>
      </c>
      <c r="P15" s="13">
        <f>O15*H15*ABS(H15)</f>
        <v>0.42384131664087676</v>
      </c>
      <c r="Q15" s="14">
        <f>H15*1000</f>
        <v>6.7751066573008387</v>
      </c>
    </row>
    <row r="16" spans="2:18" x14ac:dyDescent="0.25">
      <c r="C16" s="11">
        <v>34</v>
      </c>
      <c r="D16" s="11">
        <v>100</v>
      </c>
      <c r="E16" s="11">
        <v>0.17599999999999999</v>
      </c>
      <c r="F16" s="1">
        <v>40</v>
      </c>
      <c r="G16" s="1">
        <f t="shared" ref="G16:G18" si="5">F16/1000</f>
        <v>0.04</v>
      </c>
      <c r="H16" s="1">
        <f>G16+L4</f>
        <v>3.2775106657300837E-2</v>
      </c>
      <c r="I16" s="1">
        <f t="shared" ref="I16:I18" si="6">ABS(4*G16/PI()/E16^2)</f>
        <v>1.644162635246853</v>
      </c>
      <c r="J16" s="1">
        <f>I16*E16/$C$2</f>
        <v>289372.62380344613</v>
      </c>
      <c r="K16" s="1">
        <f>5.74/J16^0.9</f>
        <v>6.9758991669426892E-5</v>
      </c>
      <c r="L16" s="1">
        <f>$C$3/E16/3.7</f>
        <v>1.5356265356265359E-4</v>
      </c>
      <c r="M16" s="1">
        <f t="shared" ref="M16:M18" si="7">LOG10(K16+L16)</f>
        <v>-3.6510691813205245</v>
      </c>
      <c r="N16" s="1">
        <f>0.25/M16^2</f>
        <v>1.8754257919661035E-2</v>
      </c>
      <c r="O16" s="1">
        <f>8*N16*D16/9.81/PI()^2/E16^5</f>
        <v>917.6092430301386</v>
      </c>
      <c r="P16" s="13">
        <f t="shared" ref="P16:P18" si="8">O16*H16*ABS(H16)</f>
        <v>0.9857028377396696</v>
      </c>
      <c r="Q16" s="14">
        <f t="shared" ref="Q16:Q18" si="9">H16*1000</f>
        <v>32.775106657300839</v>
      </c>
    </row>
    <row r="17" spans="3:17" x14ac:dyDescent="0.25">
      <c r="C17" s="11">
        <v>45</v>
      </c>
      <c r="D17" s="11">
        <v>100</v>
      </c>
      <c r="E17" s="11">
        <v>0.17599999999999999</v>
      </c>
      <c r="F17" s="1">
        <v>29</v>
      </c>
      <c r="G17" s="1">
        <f t="shared" si="5"/>
        <v>2.9000000000000001E-2</v>
      </c>
      <c r="H17" s="1">
        <f>G17+L4</f>
        <v>2.1775106657300841E-2</v>
      </c>
      <c r="I17" s="1">
        <f t="shared" si="6"/>
        <v>1.1920179105539686</v>
      </c>
      <c r="J17" s="1">
        <f>I17*E17/$C$2</f>
        <v>209795.15225749847</v>
      </c>
      <c r="K17" s="1">
        <f>5.74/J17^0.9</f>
        <v>9.317426779325617E-5</v>
      </c>
      <c r="L17" s="1">
        <f>$C$3/E17/3.7</f>
        <v>1.5356265356265359E-4</v>
      </c>
      <c r="M17" s="1">
        <f t="shared" si="7"/>
        <v>-3.6077658584495893</v>
      </c>
      <c r="N17" s="1">
        <f>0.25/M17^2</f>
        <v>1.9207167331474227E-2</v>
      </c>
      <c r="O17" s="1">
        <f>8*N17*D17/9.81/PI()^2/E17^5</f>
        <v>939.76921674466462</v>
      </c>
      <c r="P17" s="13">
        <f t="shared" si="8"/>
        <v>0.44559652664388727</v>
      </c>
      <c r="Q17" s="14">
        <f t="shared" si="9"/>
        <v>21.775106657300842</v>
      </c>
    </row>
    <row r="18" spans="3:17" x14ac:dyDescent="0.25">
      <c r="C18" s="11">
        <v>25</v>
      </c>
      <c r="D18" s="11">
        <v>120</v>
      </c>
      <c r="E18" s="11">
        <v>0.1234</v>
      </c>
      <c r="F18" s="1">
        <f>-10</f>
        <v>-10</v>
      </c>
      <c r="G18" s="1">
        <f t="shared" si="5"/>
        <v>-0.01</v>
      </c>
      <c r="H18" s="1">
        <f>G18+L4-L3</f>
        <v>-1.5747059389162241E-2</v>
      </c>
      <c r="I18" s="1">
        <f t="shared" si="6"/>
        <v>0.83614153858869245</v>
      </c>
      <c r="J18" s="1">
        <f>I18*E18/$C$2</f>
        <v>103179.86586184465</v>
      </c>
      <c r="K18" s="1">
        <f>5.74/J18^0.9</f>
        <v>1.7647225261136875E-4</v>
      </c>
      <c r="L18" s="1">
        <f>$C$3/E18/3.7</f>
        <v>2.1901966796618338E-4</v>
      </c>
      <c r="M18" s="1">
        <f t="shared" si="7"/>
        <v>-3.4028623841876109</v>
      </c>
      <c r="N18" s="1">
        <f>0.25/M18^2</f>
        <v>2.1589930114305326E-2</v>
      </c>
      <c r="O18" s="1">
        <f>8*N18*D18/9.81/PI()^2/E18^5</f>
        <v>7481.3146085462522</v>
      </c>
      <c r="P18" s="13">
        <f t="shared" si="8"/>
        <v>-1.8551406812780842</v>
      </c>
      <c r="Q18" s="14">
        <f t="shared" si="9"/>
        <v>-15.747059389162242</v>
      </c>
    </row>
    <row r="19" spans="3:17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2" t="s">
        <v>13</v>
      </c>
      <c r="P19" s="1">
        <f>SUM(P15:P18)</f>
        <v>-2.5365043399006026E-10</v>
      </c>
    </row>
    <row r="20" spans="3:17" x14ac:dyDescent="0.25"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8"/>
      <c r="P20" s="8"/>
    </row>
    <row r="21" spans="3:17" x14ac:dyDescent="0.25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4" t="s">
        <v>14</v>
      </c>
      <c r="P21" s="9">
        <f>P11^2+P19^2</f>
        <v>9.0169737295100767E-19</v>
      </c>
    </row>
  </sheetData>
  <mergeCells count="6">
    <mergeCell ref="B1:C1"/>
    <mergeCell ref="K2:L2"/>
    <mergeCell ref="D5:E5"/>
    <mergeCell ref="D13:E13"/>
    <mergeCell ref="P5:Q5"/>
    <mergeCell ref="P13:Q1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topLeftCell="C1" workbookViewId="0">
      <selection activeCell="Q3" sqref="Q3"/>
    </sheetView>
  </sheetViews>
  <sheetFormatPr defaultRowHeight="15" x14ac:dyDescent="0.25"/>
  <cols>
    <col min="2" max="3" width="12" customWidth="1"/>
    <col min="7" max="7" width="11.28515625" customWidth="1"/>
    <col min="8" max="8" width="18" customWidth="1"/>
    <col min="11" max="11" width="13.28515625" customWidth="1"/>
    <col min="12" max="12" width="12" bestFit="1" customWidth="1"/>
    <col min="13" max="13" width="13.85546875" customWidth="1"/>
    <col min="14" max="14" width="12" bestFit="1" customWidth="1"/>
    <col min="15" max="15" width="12.140625" customWidth="1"/>
    <col min="16" max="16" width="12.5703125" customWidth="1"/>
    <col min="17" max="17" width="13.140625" customWidth="1"/>
  </cols>
  <sheetData>
    <row r="1" spans="2:18" x14ac:dyDescent="0.25">
      <c r="B1" s="28" t="s">
        <v>19</v>
      </c>
      <c r="C1" s="29"/>
      <c r="D1" s="29"/>
      <c r="E1" s="29"/>
    </row>
    <row r="2" spans="2:18" x14ac:dyDescent="0.25">
      <c r="B2" s="3" t="s">
        <v>10</v>
      </c>
      <c r="C2" s="3">
        <f>10^(-6)</f>
        <v>9.9999999999999995E-7</v>
      </c>
      <c r="D2" s="3" t="s">
        <v>35</v>
      </c>
      <c r="E2" s="3">
        <f>100</f>
        <v>100</v>
      </c>
      <c r="K2" s="30" t="s">
        <v>20</v>
      </c>
      <c r="L2" s="30"/>
      <c r="N2" s="6"/>
      <c r="O2" s="6"/>
    </row>
    <row r="3" spans="2:18" x14ac:dyDescent="0.25">
      <c r="B3" s="3" t="s">
        <v>11</v>
      </c>
      <c r="C3" s="3">
        <f>0.1/1000</f>
        <v>1E-4</v>
      </c>
      <c r="D3" s="3" t="s">
        <v>36</v>
      </c>
      <c r="E3" s="3">
        <v>90</v>
      </c>
      <c r="K3" s="4" t="s">
        <v>15</v>
      </c>
      <c r="L3" s="5">
        <v>4.9786561152558081E-3</v>
      </c>
      <c r="M3" s="7" t="s">
        <v>17</v>
      </c>
      <c r="N3" s="6">
        <f>L3*1000</f>
        <v>4.9786561152558084</v>
      </c>
    </row>
    <row r="4" spans="2:18" x14ac:dyDescent="0.25">
      <c r="K4" s="4" t="s">
        <v>16</v>
      </c>
      <c r="L4" s="5">
        <v>-2.5220042559490253E-4</v>
      </c>
      <c r="M4" s="7" t="s">
        <v>18</v>
      </c>
      <c r="N4" s="6">
        <f>L4*1000</f>
        <v>-0.25220042559490252</v>
      </c>
    </row>
    <row r="5" spans="2:18" x14ac:dyDescent="0.25">
      <c r="D5" s="28" t="s">
        <v>19</v>
      </c>
      <c r="E5" s="28"/>
      <c r="P5" s="31" t="s">
        <v>22</v>
      </c>
      <c r="Q5" s="31"/>
    </row>
    <row r="6" spans="2:18" x14ac:dyDescent="0.25">
      <c r="C6" s="11" t="s">
        <v>21</v>
      </c>
      <c r="D6" s="10" t="s">
        <v>4</v>
      </c>
      <c r="E6" s="10" t="s">
        <v>5</v>
      </c>
      <c r="F6" s="2" t="s">
        <v>6</v>
      </c>
      <c r="G6" s="2" t="s">
        <v>7</v>
      </c>
      <c r="H6" s="2" t="s">
        <v>8</v>
      </c>
      <c r="I6" s="2" t="s">
        <v>9</v>
      </c>
      <c r="J6" s="2" t="s">
        <v>0</v>
      </c>
      <c r="K6" s="2"/>
      <c r="L6" s="2"/>
      <c r="M6" s="2"/>
      <c r="N6" s="2" t="s">
        <v>1</v>
      </c>
      <c r="O6" s="2" t="s">
        <v>12</v>
      </c>
      <c r="P6" s="12" t="s">
        <v>28</v>
      </c>
      <c r="Q6" s="12" t="s">
        <v>6</v>
      </c>
      <c r="R6" s="2"/>
    </row>
    <row r="7" spans="2:18" x14ac:dyDescent="0.25">
      <c r="C7" s="11">
        <v>12</v>
      </c>
      <c r="D7" s="11">
        <v>400</v>
      </c>
      <c r="E7" s="11">
        <v>0.19819999999999999</v>
      </c>
      <c r="F7" s="1">
        <v>45</v>
      </c>
      <c r="G7" s="1">
        <f>F7/1000</f>
        <v>4.4999999999999998E-2</v>
      </c>
      <c r="H7" s="1">
        <f>G7+L3</f>
        <v>4.9978656115255808E-2</v>
      </c>
      <c r="I7" s="1">
        <f>ABS(4*G7/PI()/E7^2)</f>
        <v>1.4585298848333874</v>
      </c>
      <c r="J7" s="1">
        <f>I7*E7/$C$2</f>
        <v>289080.62317397736</v>
      </c>
      <c r="K7" s="1">
        <f>5.74/J7^0.9</f>
        <v>6.9822405732874324E-5</v>
      </c>
      <c r="L7" s="1">
        <f>$C$3/E7/3.7</f>
        <v>1.363623967054845E-4</v>
      </c>
      <c r="M7" s="1">
        <f>LOG10(K7+L7)</f>
        <v>-3.6857433490447384</v>
      </c>
      <c r="N7" s="1">
        <f>0.25/M7^2</f>
        <v>1.8403050913393969E-2</v>
      </c>
      <c r="O7" s="1">
        <f>8*N7*D7/9.81/PI()^2/E7^5</f>
        <v>1988.624576852246</v>
      </c>
      <c r="P7" s="13">
        <f>O7*H7*ABS(H7)</f>
        <v>4.9673178506944629</v>
      </c>
      <c r="Q7" s="14">
        <f>H7*1000</f>
        <v>49.978656115255809</v>
      </c>
    </row>
    <row r="8" spans="2:18" x14ac:dyDescent="0.25">
      <c r="C8" s="11">
        <v>24</v>
      </c>
      <c r="D8" s="11">
        <v>200</v>
      </c>
      <c r="E8" s="11">
        <v>0.11020000000000001</v>
      </c>
      <c r="F8" s="1">
        <v>10</v>
      </c>
      <c r="G8" s="1">
        <f t="shared" ref="G8:G9" si="0">F8/1000</f>
        <v>0.01</v>
      </c>
      <c r="H8" s="1">
        <f>G8+L3-L4</f>
        <v>1.5230856540850711E-2</v>
      </c>
      <c r="I8" s="1">
        <f t="shared" ref="I8:I9" si="1">ABS(4*G8/PI()/E8^2)</f>
        <v>1.0484480821334272</v>
      </c>
      <c r="J8" s="1">
        <f>I8*E8/$C$2</f>
        <v>115538.97865110369</v>
      </c>
      <c r="K8" s="1">
        <f>5.74/J8^0.9</f>
        <v>1.5938822003897578E-4</v>
      </c>
      <c r="L8" s="1">
        <f>$C$3/E8/3.7</f>
        <v>2.4525432873890224E-4</v>
      </c>
      <c r="M8" s="1">
        <f t="shared" ref="M8:M9" si="2">LOG10(K8+L8)</f>
        <v>-3.3929284524404526</v>
      </c>
      <c r="N8" s="1">
        <f>0.25/M8^2</f>
        <v>2.1716538656583618E-2</v>
      </c>
      <c r="O8" s="1">
        <f>8*N8*D8/9.81/PI()^2/E8^5</f>
        <v>22081.769015046302</v>
      </c>
      <c r="P8" s="13">
        <f t="shared" ref="P8:P9" si="3">O8*H8*ABS(H8)</f>
        <v>5.1225064948983334</v>
      </c>
      <c r="Q8" s="14">
        <f t="shared" ref="Q8:Q9" si="4">H8*1000</f>
        <v>15.230856540850711</v>
      </c>
    </row>
    <row r="9" spans="2:18" x14ac:dyDescent="0.25">
      <c r="C9" s="11">
        <v>45</v>
      </c>
      <c r="D9" s="11">
        <v>300</v>
      </c>
      <c r="E9" s="11">
        <v>0.14099999999999999</v>
      </c>
      <c r="F9" s="1">
        <v>-8</v>
      </c>
      <c r="G9" s="1">
        <f t="shared" si="0"/>
        <v>-8.0000000000000002E-3</v>
      </c>
      <c r="H9" s="1">
        <f>G9+L3</f>
        <v>-3.0213438847441921E-3</v>
      </c>
      <c r="I9" s="1">
        <f t="shared" si="1"/>
        <v>0.51234426627842189</v>
      </c>
      <c r="J9" s="1">
        <f>I9*E9/$C$2</f>
        <v>72240.541545257482</v>
      </c>
      <c r="K9" s="1">
        <f>5.74/J9^0.9</f>
        <v>2.4322544056635997E-4</v>
      </c>
      <c r="L9" s="1">
        <f>$C$3/E9/3.7</f>
        <v>1.9168104274487255E-4</v>
      </c>
      <c r="M9" s="1">
        <f t="shared" si="2"/>
        <v>-3.361604118098505</v>
      </c>
      <c r="N9" s="1">
        <f>0.25/M9^2</f>
        <v>2.2123145442307653E-2</v>
      </c>
      <c r="O9" s="1">
        <f>8*N9*D9/9.81/PI()^2/E9^5</f>
        <v>9839.9705845006665</v>
      </c>
      <c r="P9" s="13">
        <f t="shared" si="3"/>
        <v>-8.9824357159689547E-2</v>
      </c>
      <c r="Q9" s="14">
        <f t="shared" si="4"/>
        <v>-3.021343884744192</v>
      </c>
    </row>
    <row r="10" spans="2:18" x14ac:dyDescent="0.25">
      <c r="C10" s="11"/>
      <c r="D10" s="11"/>
      <c r="E10" s="11"/>
      <c r="F10" s="1"/>
      <c r="G10" s="1"/>
      <c r="H10" s="1"/>
      <c r="I10" s="1"/>
      <c r="J10" s="1"/>
      <c r="K10" s="1"/>
      <c r="L10" s="1"/>
      <c r="M10" s="1"/>
      <c r="N10" s="1"/>
      <c r="O10" s="1"/>
      <c r="P10" s="13"/>
      <c r="Q10" s="14"/>
    </row>
    <row r="11" spans="2:18" x14ac:dyDescent="0.25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2" t="s">
        <v>13</v>
      </c>
      <c r="P11" s="15">
        <f>SUM(P7:P9)-(E2-E3)</f>
        <v>-1.1566894997372401E-8</v>
      </c>
      <c r="Q11" s="16"/>
    </row>
    <row r="13" spans="2:18" x14ac:dyDescent="0.25">
      <c r="C13" s="1"/>
      <c r="D13" s="28" t="s">
        <v>19</v>
      </c>
      <c r="E13" s="28"/>
      <c r="F13" s="1"/>
      <c r="G13" s="1"/>
      <c r="H13" s="1"/>
      <c r="I13" s="1"/>
      <c r="J13" s="1"/>
      <c r="K13" s="1"/>
      <c r="L13" s="1"/>
      <c r="M13" s="1"/>
      <c r="N13" s="1"/>
      <c r="O13" s="1"/>
      <c r="P13" s="31" t="s">
        <v>22</v>
      </c>
      <c r="Q13" s="31"/>
    </row>
    <row r="14" spans="2:18" x14ac:dyDescent="0.25">
      <c r="C14" s="11" t="s">
        <v>21</v>
      </c>
      <c r="D14" s="10" t="s">
        <v>4</v>
      </c>
      <c r="E14" s="10" t="s">
        <v>5</v>
      </c>
      <c r="F14" s="2" t="s">
        <v>6</v>
      </c>
      <c r="G14" s="2" t="s">
        <v>7</v>
      </c>
      <c r="H14" s="2" t="s">
        <v>8</v>
      </c>
      <c r="I14" s="2" t="s">
        <v>9</v>
      </c>
      <c r="J14" s="2" t="s">
        <v>0</v>
      </c>
      <c r="K14" s="2"/>
      <c r="L14" s="2"/>
      <c r="M14" s="2"/>
      <c r="N14" s="2" t="s">
        <v>1</v>
      </c>
      <c r="O14" s="2" t="s">
        <v>12</v>
      </c>
      <c r="P14" s="12" t="s">
        <v>28</v>
      </c>
      <c r="Q14" s="12" t="s">
        <v>6</v>
      </c>
    </row>
    <row r="15" spans="2:18" x14ac:dyDescent="0.25">
      <c r="C15" s="11">
        <v>23</v>
      </c>
      <c r="D15" s="11">
        <v>200</v>
      </c>
      <c r="E15" s="11">
        <v>0.15859999999999999</v>
      </c>
      <c r="F15" s="1">
        <v>25</v>
      </c>
      <c r="G15" s="1">
        <f>F15/1000</f>
        <v>2.5000000000000001E-2</v>
      </c>
      <c r="H15" s="1">
        <f>G15+L4</f>
        <v>2.4747799574405097E-2</v>
      </c>
      <c r="I15" s="1">
        <f>ABS(4*G15/PI()/E15^2)</f>
        <v>1.2654464195052817</v>
      </c>
      <c r="J15" s="1">
        <f>I15*E15/$C$2</f>
        <v>200699.80213353768</v>
      </c>
      <c r="K15" s="1">
        <f>5.74/J15^0.9</f>
        <v>9.6966036138186945E-5</v>
      </c>
      <c r="L15" s="1">
        <f>$C$3/E15/3.7</f>
        <v>1.7041000647558026E-4</v>
      </c>
      <c r="M15" s="1">
        <f>LOG10(K15+L15)</f>
        <v>-3.572877508916823</v>
      </c>
      <c r="N15" s="1">
        <f>0.25/M15^2</f>
        <v>1.9584106135053868E-2</v>
      </c>
      <c r="O15" s="1">
        <f>8*N15*D15/9.81/PI()^2/E15^5</f>
        <v>3225.0694331907835</v>
      </c>
      <c r="P15" s="13">
        <f>O15*H15*ABS(H15)</f>
        <v>1.975205332280662</v>
      </c>
      <c r="Q15" s="14">
        <f>H15*1000</f>
        <v>24.747799574405096</v>
      </c>
    </row>
    <row r="16" spans="2:18" x14ac:dyDescent="0.25">
      <c r="C16" s="11">
        <v>34</v>
      </c>
      <c r="D16" s="11">
        <v>300</v>
      </c>
      <c r="E16" s="11">
        <f>0.1102</f>
        <v>0.11020000000000001</v>
      </c>
      <c r="F16" s="1">
        <v>10</v>
      </c>
      <c r="G16" s="1">
        <f t="shared" ref="G16" si="5">F16/1000</f>
        <v>0.01</v>
      </c>
      <c r="H16" s="1">
        <f>G16+L4</f>
        <v>9.7477995744050978E-3</v>
      </c>
      <c r="I16" s="1">
        <f t="shared" ref="I16:I17" si="6">ABS(4*G16/PI()/E16^2)</f>
        <v>1.0484480821334272</v>
      </c>
      <c r="J16" s="1">
        <f>I16*E16/$C$2</f>
        <v>115538.97865110369</v>
      </c>
      <c r="K16" s="1">
        <f>5.74/J16^0.9</f>
        <v>1.5938822003897578E-4</v>
      </c>
      <c r="L16" s="1">
        <f>$C$3/E16/3.7</f>
        <v>2.4525432873890224E-4</v>
      </c>
      <c r="M16" s="1">
        <f t="shared" ref="M16:M17" si="7">LOG10(K16+L16)</f>
        <v>-3.3929284524404526</v>
      </c>
      <c r="N16" s="1">
        <f>0.25/M16^2</f>
        <v>2.1716538656583618E-2</v>
      </c>
      <c r="O16" s="1">
        <f>8*N16*D16/9.81/PI()^2/E16^5</f>
        <v>33122.653522569446</v>
      </c>
      <c r="P16" s="13">
        <f t="shared" ref="P16:P17" si="8">O16*H16*ABS(H16)</f>
        <v>3.1473011741405816</v>
      </c>
      <c r="Q16" s="14">
        <f t="shared" ref="Q16:Q17" si="9">H16*1000</f>
        <v>9.7477995744050983</v>
      </c>
    </row>
    <row r="17" spans="3:17" x14ac:dyDescent="0.25">
      <c r="C17" s="11">
        <v>42</v>
      </c>
      <c r="D17" s="11">
        <v>200</v>
      </c>
      <c r="E17" s="11">
        <f>E8</f>
        <v>0.11020000000000001</v>
      </c>
      <c r="F17" s="1">
        <v>-10</v>
      </c>
      <c r="G17" s="1">
        <f>F17/1000</f>
        <v>-0.01</v>
      </c>
      <c r="H17" s="1">
        <f>G17+L4-L3</f>
        <v>-1.5230856540850711E-2</v>
      </c>
      <c r="I17" s="1">
        <f t="shared" si="6"/>
        <v>1.0484480821334272</v>
      </c>
      <c r="J17" s="1">
        <f>I17*E17/$C$2</f>
        <v>115538.97865110369</v>
      </c>
      <c r="K17" s="1">
        <f>5.74/J17^0.9</f>
        <v>1.5938822003897578E-4</v>
      </c>
      <c r="L17" s="1">
        <f>$C$3/E17/3.7</f>
        <v>2.4525432873890224E-4</v>
      </c>
      <c r="M17" s="1">
        <f t="shared" si="7"/>
        <v>-3.3929284524404526</v>
      </c>
      <c r="N17" s="1">
        <f>0.25/M17^2</f>
        <v>2.1716538656583618E-2</v>
      </c>
      <c r="O17" s="1">
        <f>8*N17*D17/9.81/PI()^2/E17^5</f>
        <v>22081.769015046302</v>
      </c>
      <c r="P17" s="13">
        <f t="shared" si="8"/>
        <v>-5.1225064948983334</v>
      </c>
      <c r="Q17" s="14">
        <f t="shared" si="9"/>
        <v>-15.230856540850711</v>
      </c>
    </row>
    <row r="18" spans="3:17" x14ac:dyDescent="0.25">
      <c r="C18" s="11"/>
      <c r="D18" s="11"/>
      <c r="E18" s="11"/>
      <c r="F18" s="1"/>
      <c r="G18" s="1"/>
      <c r="H18" s="1"/>
      <c r="I18" s="1"/>
      <c r="J18" s="1"/>
      <c r="K18" s="1"/>
      <c r="L18" s="1"/>
      <c r="M18" s="1"/>
      <c r="N18" s="1"/>
      <c r="O18" s="1"/>
      <c r="P18" s="13"/>
      <c r="Q18" s="14"/>
    </row>
    <row r="19" spans="3:17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2" t="s">
        <v>13</v>
      </c>
      <c r="P19" s="1">
        <f>SUM(P15:P17)</f>
        <v>1.1522910625672012E-8</v>
      </c>
    </row>
    <row r="20" spans="3:17" x14ac:dyDescent="0.25"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8"/>
      <c r="P20" s="8"/>
    </row>
    <row r="21" spans="3:17" x14ac:dyDescent="0.25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4" t="s">
        <v>14</v>
      </c>
      <c r="P21" s="9">
        <f>P11^2+P19^2</f>
        <v>2.6657052916746363E-16</v>
      </c>
    </row>
  </sheetData>
  <mergeCells count="6">
    <mergeCell ref="B1:E1"/>
    <mergeCell ref="K2:L2"/>
    <mergeCell ref="D5:E5"/>
    <mergeCell ref="P5:Q5"/>
    <mergeCell ref="D13:E13"/>
    <mergeCell ref="P13:Q1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7"/>
  <sheetViews>
    <sheetView topLeftCell="A64" zoomScale="90" zoomScaleNormal="90" workbookViewId="0">
      <selection activeCell="A19" sqref="A19"/>
    </sheetView>
  </sheetViews>
  <sheetFormatPr defaultRowHeight="15" x14ac:dyDescent="0.25"/>
  <cols>
    <col min="1" max="1" width="13.7109375" customWidth="1"/>
    <col min="2" max="3" width="12" customWidth="1"/>
    <col min="7" max="7" width="11.28515625" customWidth="1"/>
    <col min="8" max="8" width="18" customWidth="1"/>
    <col min="11" max="11" width="13.28515625" customWidth="1"/>
    <col min="12" max="12" width="12" bestFit="1" customWidth="1"/>
    <col min="13" max="13" width="13.85546875" customWidth="1"/>
    <col min="14" max="14" width="12" bestFit="1" customWidth="1"/>
    <col min="15" max="15" width="15" customWidth="1"/>
    <col min="16" max="16" width="17.42578125" customWidth="1"/>
    <col min="17" max="17" width="13.140625" customWidth="1"/>
    <col min="18" max="18" width="14.85546875" style="1" customWidth="1"/>
  </cols>
  <sheetData>
    <row r="1" spans="2:18" x14ac:dyDescent="0.25">
      <c r="B1" s="28" t="s">
        <v>19</v>
      </c>
      <c r="C1" s="28"/>
      <c r="I1" s="16"/>
      <c r="J1" s="16"/>
      <c r="K1" s="16"/>
      <c r="L1" s="16"/>
      <c r="M1" s="16"/>
      <c r="N1" s="16"/>
      <c r="O1" s="16"/>
    </row>
    <row r="2" spans="2:18" x14ac:dyDescent="0.25">
      <c r="B2" s="3" t="s">
        <v>10</v>
      </c>
      <c r="C2" s="3">
        <f>10^(-6)</f>
        <v>9.9999999999999995E-7</v>
      </c>
      <c r="I2" s="16"/>
      <c r="J2" s="16"/>
      <c r="K2" s="32"/>
      <c r="L2" s="32"/>
      <c r="M2" s="16"/>
      <c r="N2" s="20"/>
      <c r="O2" s="20"/>
    </row>
    <row r="3" spans="2:18" x14ac:dyDescent="0.25">
      <c r="B3" s="3" t="s">
        <v>11</v>
      </c>
      <c r="C3" s="3">
        <f>0.1/1000</f>
        <v>1E-4</v>
      </c>
      <c r="I3" s="16"/>
      <c r="J3" s="16"/>
      <c r="L3" s="21">
        <v>0</v>
      </c>
      <c r="M3" s="21"/>
      <c r="N3" s="20"/>
      <c r="O3" s="16"/>
    </row>
    <row r="4" spans="2:18" x14ac:dyDescent="0.25">
      <c r="I4" s="16"/>
      <c r="J4" s="16"/>
      <c r="L4" s="21">
        <v>0</v>
      </c>
      <c r="M4" s="21"/>
      <c r="N4" s="20"/>
      <c r="O4" s="16"/>
    </row>
    <row r="5" spans="2:18" x14ac:dyDescent="0.25">
      <c r="D5" s="28" t="s">
        <v>19</v>
      </c>
      <c r="E5" s="28"/>
      <c r="P5" s="31" t="s">
        <v>22</v>
      </c>
      <c r="Q5" s="31"/>
    </row>
    <row r="6" spans="2:18" x14ac:dyDescent="0.25">
      <c r="C6" s="11" t="s">
        <v>21</v>
      </c>
      <c r="D6" s="10" t="s">
        <v>4</v>
      </c>
      <c r="E6" s="10" t="s">
        <v>5</v>
      </c>
      <c r="F6" s="2" t="s">
        <v>6</v>
      </c>
      <c r="G6" s="2" t="s">
        <v>7</v>
      </c>
      <c r="H6" s="2" t="s">
        <v>8</v>
      </c>
      <c r="I6" s="2" t="s">
        <v>9</v>
      </c>
      <c r="J6" s="2" t="s">
        <v>0</v>
      </c>
      <c r="K6" s="2"/>
      <c r="L6" s="2"/>
      <c r="M6" s="2"/>
      <c r="N6" s="2" t="s">
        <v>1</v>
      </c>
      <c r="O6" s="2" t="s">
        <v>12</v>
      </c>
      <c r="P6" s="12" t="s">
        <v>28</v>
      </c>
      <c r="Q6" s="12" t="s">
        <v>6</v>
      </c>
      <c r="R6" s="2" t="s">
        <v>37</v>
      </c>
    </row>
    <row r="7" spans="2:18" x14ac:dyDescent="0.25">
      <c r="C7" s="11">
        <v>12</v>
      </c>
      <c r="D7" s="11">
        <v>100</v>
      </c>
      <c r="E7" s="11">
        <v>0.14099999999999999</v>
      </c>
      <c r="F7" s="1">
        <v>17</v>
      </c>
      <c r="G7" s="1">
        <f>F7/1000</f>
        <v>1.7000000000000001E-2</v>
      </c>
      <c r="H7" s="1">
        <f>G7+L3</f>
        <v>1.7000000000000001E-2</v>
      </c>
      <c r="I7" s="1">
        <f>ABS(4*G7/PI()/E7^2)</f>
        <v>1.0887315658416463</v>
      </c>
      <c r="J7" s="1">
        <f>I7*E7/$C$2</f>
        <v>153511.15078367211</v>
      </c>
      <c r="K7" s="1">
        <f>5.74/J7^0.9</f>
        <v>1.2342011813537231E-4</v>
      </c>
      <c r="L7" s="1">
        <f>$C$3/E7/3.7</f>
        <v>1.9168104274487255E-4</v>
      </c>
      <c r="M7" s="1">
        <f>LOG10(K7+L7)</f>
        <v>-3.5015499968166197</v>
      </c>
      <c r="N7" s="1">
        <f>0.25/M7^2</f>
        <v>2.0390099501042199E-2</v>
      </c>
      <c r="O7" s="1">
        <f>8*N7*D7/9.81/PI()^2/E7^5</f>
        <v>3023.0478125050395</v>
      </c>
      <c r="P7" s="13">
        <f>O7*H7*ABS(H7)</f>
        <v>0.87366081781395655</v>
      </c>
      <c r="Q7" s="14">
        <f>H7*1000</f>
        <v>17</v>
      </c>
      <c r="R7" s="1">
        <f>2*P7/H7</f>
        <v>102.78362562517135</v>
      </c>
    </row>
    <row r="8" spans="2:18" x14ac:dyDescent="0.25">
      <c r="C8" s="11">
        <v>25</v>
      </c>
      <c r="D8" s="11">
        <v>120</v>
      </c>
      <c r="E8" s="11">
        <v>0.1234</v>
      </c>
      <c r="F8" s="1">
        <v>10</v>
      </c>
      <c r="G8" s="1">
        <f t="shared" ref="G8:G10" si="0">F8/1000</f>
        <v>0.01</v>
      </c>
      <c r="H8" s="1">
        <f>G8+L3-L4</f>
        <v>0.01</v>
      </c>
      <c r="I8" s="1">
        <f t="shared" ref="I8:I10" si="1">ABS(4*G8/PI()/E8^2)</f>
        <v>0.83614153858869245</v>
      </c>
      <c r="J8" s="1">
        <f>I8*E8/$C$2</f>
        <v>103179.86586184465</v>
      </c>
      <c r="K8" s="1">
        <f>5.74/J8^0.9</f>
        <v>1.7647225261136875E-4</v>
      </c>
      <c r="L8" s="1">
        <f>$C$3/E8/3.7</f>
        <v>2.1901966796618338E-4</v>
      </c>
      <c r="M8" s="1">
        <f t="shared" ref="M8:M10" si="2">LOG10(K8+L8)</f>
        <v>-3.4028623841876109</v>
      </c>
      <c r="N8" s="1">
        <f>0.25/M8^2</f>
        <v>2.1589930114305326E-2</v>
      </c>
      <c r="O8" s="1">
        <f>8*N8*D8/9.81/PI()^2/E8^5</f>
        <v>7481.3146085462522</v>
      </c>
      <c r="P8" s="13">
        <f t="shared" ref="P8:P10" si="3">O8*H8*ABS(H8)</f>
        <v>0.74813146085462523</v>
      </c>
      <c r="Q8" s="14">
        <f t="shared" ref="Q8:Q10" si="4">H8*1000</f>
        <v>10</v>
      </c>
      <c r="R8" s="1">
        <f t="shared" ref="R8:R10" si="5">2*P8/H8</f>
        <v>149.62629217092504</v>
      </c>
    </row>
    <row r="9" spans="2:18" x14ac:dyDescent="0.25">
      <c r="C9" s="11">
        <v>56</v>
      </c>
      <c r="D9" s="11">
        <v>150</v>
      </c>
      <c r="E9" s="11">
        <v>0.1234</v>
      </c>
      <c r="F9" s="1">
        <f>-11</f>
        <v>-11</v>
      </c>
      <c r="G9" s="1">
        <f t="shared" si="0"/>
        <v>-1.0999999999999999E-2</v>
      </c>
      <c r="H9" s="1">
        <f>G9+L3</f>
        <v>-1.0999999999999999E-2</v>
      </c>
      <c r="I9" s="1">
        <f t="shared" si="1"/>
        <v>0.9197556924475615</v>
      </c>
      <c r="J9" s="1">
        <f>I9*E9/$C$2</f>
        <v>113497.85244802909</v>
      </c>
      <c r="K9" s="1">
        <f>5.74/J9^0.9</f>
        <v>1.6196568522393215E-4</v>
      </c>
      <c r="L9" s="1">
        <f>$C$3/E9/3.7</f>
        <v>2.1901966796618338E-4</v>
      </c>
      <c r="M9" s="1">
        <f t="shared" si="2"/>
        <v>-3.419091720258717</v>
      </c>
      <c r="N9" s="1">
        <f>0.25/M9^2</f>
        <v>2.1385455555017013E-2</v>
      </c>
      <c r="O9" s="1">
        <f>8*N9*D9/9.81/PI()^2/E9^5</f>
        <v>9263.0754365061784</v>
      </c>
      <c r="P9" s="13">
        <f t="shared" si="3"/>
        <v>-1.1208321278172475</v>
      </c>
      <c r="Q9" s="14">
        <f t="shared" si="4"/>
        <v>-11</v>
      </c>
      <c r="R9" s="1">
        <f t="shared" si="5"/>
        <v>203.78765960313592</v>
      </c>
    </row>
    <row r="10" spans="2:18" x14ac:dyDescent="0.25">
      <c r="C10" s="11">
        <v>61</v>
      </c>
      <c r="D10" s="11">
        <v>100</v>
      </c>
      <c r="E10" s="11">
        <v>0.14099999999999999</v>
      </c>
      <c r="F10" s="1">
        <f>-18</f>
        <v>-18</v>
      </c>
      <c r="G10" s="1">
        <f t="shared" si="0"/>
        <v>-1.7999999999999999E-2</v>
      </c>
      <c r="H10" s="1">
        <f>G10+L3</f>
        <v>-1.7999999999999999E-2</v>
      </c>
      <c r="I10" s="1">
        <f t="shared" si="1"/>
        <v>1.1527745991264491</v>
      </c>
      <c r="J10" s="1">
        <f>I10*E10/$C$2</f>
        <v>162541.21847682932</v>
      </c>
      <c r="K10" s="1">
        <f>5.74/J10^0.9</f>
        <v>1.1723161081392932E-4</v>
      </c>
      <c r="L10" s="1">
        <f>$C$3/E10/3.7</f>
        <v>1.9168104274487255E-4</v>
      </c>
      <c r="M10" s="1">
        <f t="shared" si="2"/>
        <v>-3.5101643019341826</v>
      </c>
      <c r="N10" s="1">
        <f>0.25/M10^2</f>
        <v>2.0290143489852117E-2</v>
      </c>
      <c r="O10" s="1">
        <f>8*N10*D10/9.81/PI()^2/E10^5</f>
        <v>3008.2282771241826</v>
      </c>
      <c r="P10" s="13">
        <f t="shared" si="3"/>
        <v>-0.97466596178823495</v>
      </c>
      <c r="Q10" s="14">
        <f t="shared" si="4"/>
        <v>-18</v>
      </c>
      <c r="R10" s="1">
        <f t="shared" si="5"/>
        <v>108.29621797647056</v>
      </c>
    </row>
    <row r="11" spans="2:18" x14ac:dyDescent="0.25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2" t="s">
        <v>13</v>
      </c>
      <c r="P11" s="15">
        <f>SUM(P7:P10)</f>
        <v>-0.47370581093690078</v>
      </c>
      <c r="Q11" s="2" t="s">
        <v>38</v>
      </c>
      <c r="R11" s="15">
        <f>SUM(R7:R10)</f>
        <v>564.49379537570292</v>
      </c>
    </row>
    <row r="13" spans="2:18" x14ac:dyDescent="0.25">
      <c r="C13" s="1"/>
      <c r="D13" s="28" t="s">
        <v>19</v>
      </c>
      <c r="E13" s="28"/>
      <c r="F13" s="1"/>
      <c r="G13" s="1"/>
      <c r="H13" s="1"/>
      <c r="I13" s="1"/>
      <c r="J13" s="1"/>
      <c r="K13" s="1"/>
      <c r="L13" s="1"/>
      <c r="M13" s="1"/>
      <c r="N13" s="1"/>
      <c r="O13" s="1"/>
      <c r="P13" s="31" t="s">
        <v>22</v>
      </c>
      <c r="Q13" s="31"/>
    </row>
    <row r="14" spans="2:18" x14ac:dyDescent="0.25">
      <c r="C14" s="11" t="s">
        <v>21</v>
      </c>
      <c r="D14" s="10" t="s">
        <v>4</v>
      </c>
      <c r="E14" s="10" t="s">
        <v>5</v>
      </c>
      <c r="F14" s="2" t="s">
        <v>6</v>
      </c>
      <c r="G14" s="2" t="s">
        <v>7</v>
      </c>
      <c r="H14" s="2" t="s">
        <v>8</v>
      </c>
      <c r="I14" s="2" t="s">
        <v>9</v>
      </c>
      <c r="J14" s="2" t="s">
        <v>0</v>
      </c>
      <c r="K14" s="2"/>
      <c r="L14" s="2"/>
      <c r="M14" s="2"/>
      <c r="N14" s="2" t="s">
        <v>1</v>
      </c>
      <c r="O14" s="2" t="s">
        <v>12</v>
      </c>
      <c r="P14" s="12" t="s">
        <v>28</v>
      </c>
      <c r="Q14" s="12" t="s">
        <v>6</v>
      </c>
      <c r="R14" s="2" t="s">
        <v>37</v>
      </c>
    </row>
    <row r="15" spans="2:18" x14ac:dyDescent="0.25">
      <c r="C15" s="11">
        <v>23</v>
      </c>
      <c r="D15" s="11">
        <v>300</v>
      </c>
      <c r="E15" s="11">
        <v>0.96799999999999997</v>
      </c>
      <c r="F15" s="1">
        <v>14</v>
      </c>
      <c r="G15" s="1">
        <f>F15/1000</f>
        <v>1.4E-2</v>
      </c>
      <c r="H15" s="1">
        <f>G15+L4</f>
        <v>1.4E-2</v>
      </c>
      <c r="I15" s="1">
        <f>ABS(4*G15/PI()/E15^2)</f>
        <v>1.902336933343466E-2</v>
      </c>
      <c r="J15" s="1">
        <f>I15*E15/$C$2</f>
        <v>18414.621514764753</v>
      </c>
      <c r="K15" s="1">
        <f>5.74/J15^0.9</f>
        <v>8.3227217461835743E-4</v>
      </c>
      <c r="L15" s="1">
        <f>$C$3/E15/3.7</f>
        <v>2.7920482465937014E-5</v>
      </c>
      <c r="M15" s="1">
        <f>LOG10(K15+L15)</f>
        <v>-3.0654042690609122</v>
      </c>
      <c r="N15" s="1">
        <f>0.25/M15^2</f>
        <v>2.6605075327638471E-2</v>
      </c>
      <c r="O15" s="1">
        <f>8*N15*D15/9.81/PI()^2/E15^5</f>
        <v>0.77594367125994268</v>
      </c>
      <c r="P15" s="13">
        <f>O15*H15*ABS(H15)</f>
        <v>1.5208495956694877E-4</v>
      </c>
      <c r="Q15" s="14">
        <f>H15*1000</f>
        <v>14</v>
      </c>
      <c r="R15" s="1">
        <f>2*P15/H15</f>
        <v>2.1726422795278394E-2</v>
      </c>
    </row>
    <row r="16" spans="2:18" x14ac:dyDescent="0.25">
      <c r="C16" s="11">
        <v>34</v>
      </c>
      <c r="D16" s="11">
        <v>100</v>
      </c>
      <c r="E16" s="11">
        <v>0.17599999999999999</v>
      </c>
      <c r="F16" s="1">
        <v>40</v>
      </c>
      <c r="G16" s="1">
        <f t="shared" ref="G16:G18" si="6">F16/1000</f>
        <v>0.04</v>
      </c>
      <c r="H16" s="1">
        <f>G16+L4</f>
        <v>0.04</v>
      </c>
      <c r="I16" s="1">
        <f t="shared" ref="I16:I18" si="7">ABS(4*G16/PI()/E16^2)</f>
        <v>1.644162635246853</v>
      </c>
      <c r="J16" s="1">
        <f>I16*E16/$C$2</f>
        <v>289372.62380344613</v>
      </c>
      <c r="K16" s="1">
        <f>5.74/J16^0.9</f>
        <v>6.9758991669426892E-5</v>
      </c>
      <c r="L16" s="1">
        <f>$C$3/E16/3.7</f>
        <v>1.5356265356265359E-4</v>
      </c>
      <c r="M16" s="1">
        <f t="shared" ref="M16:M18" si="8">LOG10(K16+L16)</f>
        <v>-3.6510691813205245</v>
      </c>
      <c r="N16" s="1">
        <f>0.25/M16^2</f>
        <v>1.8754257919661035E-2</v>
      </c>
      <c r="O16" s="1">
        <f>8*N16*D16/9.81/PI()^2/E16^5</f>
        <v>917.6092430301386</v>
      </c>
      <c r="P16" s="13">
        <f t="shared" ref="P16:P18" si="9">O16*H16*ABS(H16)</f>
        <v>1.4681747888482217</v>
      </c>
      <c r="Q16" s="14">
        <f t="shared" ref="Q16:Q18" si="10">H16*1000</f>
        <v>40</v>
      </c>
      <c r="R16" s="1">
        <f t="shared" ref="R16:R18" si="11">2*P16/H16</f>
        <v>73.40873944241109</v>
      </c>
    </row>
    <row r="17" spans="1:18" x14ac:dyDescent="0.25">
      <c r="C17" s="11">
        <v>45</v>
      </c>
      <c r="D17" s="11">
        <v>100</v>
      </c>
      <c r="E17" s="11">
        <v>0.17599999999999999</v>
      </c>
      <c r="F17" s="1">
        <v>29</v>
      </c>
      <c r="G17" s="1">
        <f t="shared" si="6"/>
        <v>2.9000000000000001E-2</v>
      </c>
      <c r="H17" s="1">
        <f>G17+L4</f>
        <v>2.9000000000000001E-2</v>
      </c>
      <c r="I17" s="1">
        <f t="shared" si="7"/>
        <v>1.1920179105539686</v>
      </c>
      <c r="J17" s="1">
        <f>I17*E17/$C$2</f>
        <v>209795.15225749847</v>
      </c>
      <c r="K17" s="1">
        <f>5.74/J17^0.9</f>
        <v>9.317426779325617E-5</v>
      </c>
      <c r="L17" s="1">
        <f>$C$3/E17/3.7</f>
        <v>1.5356265356265359E-4</v>
      </c>
      <c r="M17" s="1">
        <f t="shared" si="8"/>
        <v>-3.6077658584495893</v>
      </c>
      <c r="N17" s="1">
        <f>0.25/M17^2</f>
        <v>1.9207167331474227E-2</v>
      </c>
      <c r="O17" s="1">
        <f>8*N17*D17/9.81/PI()^2/E17^5</f>
        <v>939.76921674466462</v>
      </c>
      <c r="P17" s="13">
        <f t="shared" si="9"/>
        <v>0.79034591128226306</v>
      </c>
      <c r="Q17" s="14">
        <f t="shared" si="10"/>
        <v>29</v>
      </c>
      <c r="R17" s="1">
        <f t="shared" si="11"/>
        <v>54.506614571190553</v>
      </c>
    </row>
    <row r="18" spans="1:18" x14ac:dyDescent="0.25">
      <c r="C18" s="11">
        <v>25</v>
      </c>
      <c r="D18" s="11">
        <v>120</v>
      </c>
      <c r="E18" s="11">
        <v>0.1234</v>
      </c>
      <c r="F18" s="1">
        <f>-10</f>
        <v>-10</v>
      </c>
      <c r="G18" s="1">
        <f t="shared" si="6"/>
        <v>-0.01</v>
      </c>
      <c r="H18" s="1">
        <f>G18+L4-L3</f>
        <v>-0.01</v>
      </c>
      <c r="I18" s="1">
        <f t="shared" si="7"/>
        <v>0.83614153858869245</v>
      </c>
      <c r="J18" s="1">
        <f>I18*E18/$C$2</f>
        <v>103179.86586184465</v>
      </c>
      <c r="K18" s="1">
        <f>5.74/J18^0.9</f>
        <v>1.7647225261136875E-4</v>
      </c>
      <c r="L18" s="1">
        <f>$C$3/E18/3.7</f>
        <v>2.1901966796618338E-4</v>
      </c>
      <c r="M18" s="1">
        <f t="shared" si="8"/>
        <v>-3.4028623841876109</v>
      </c>
      <c r="N18" s="1">
        <f>0.25/M18^2</f>
        <v>2.1589930114305326E-2</v>
      </c>
      <c r="O18" s="1">
        <f>8*N18*D18/9.81/PI()^2/E18^5</f>
        <v>7481.3146085462522</v>
      </c>
      <c r="P18" s="13">
        <f t="shared" si="9"/>
        <v>-0.74813146085462523</v>
      </c>
      <c r="Q18" s="14">
        <f t="shared" si="10"/>
        <v>-10</v>
      </c>
      <c r="R18" s="1">
        <f t="shared" si="11"/>
        <v>149.62629217092504</v>
      </c>
    </row>
    <row r="19" spans="1:18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2" t="s">
        <v>13</v>
      </c>
      <c r="P19" s="1">
        <f>SUM(P15:P18)</f>
        <v>1.5105413242354262</v>
      </c>
      <c r="Q19" s="2" t="s">
        <v>38</v>
      </c>
      <c r="R19" s="15">
        <f>SUM(R15:R18)</f>
        <v>277.56337260732198</v>
      </c>
    </row>
    <row r="20" spans="1:18" x14ac:dyDescent="0.25"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8"/>
      <c r="P20" s="8"/>
    </row>
    <row r="21" spans="1:18" x14ac:dyDescent="0.25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30" t="s">
        <v>20</v>
      </c>
      <c r="O21" s="30"/>
    </row>
    <row r="22" spans="1:18" x14ac:dyDescent="0.25">
      <c r="N22" s="4" t="s">
        <v>15</v>
      </c>
      <c r="O22" s="9">
        <v>-7.0392400691919122E-4</v>
      </c>
      <c r="P22" s="2" t="s">
        <v>39</v>
      </c>
      <c r="Q22" s="1">
        <f>P11+R11*O22-R8*O23</f>
        <v>-3.1590078330978599E-9</v>
      </c>
    </row>
    <row r="23" spans="1:18" x14ac:dyDescent="0.25">
      <c r="N23" s="4" t="s">
        <v>16</v>
      </c>
      <c r="O23" s="9">
        <v>-5.8216141659429756E-3</v>
      </c>
      <c r="P23" s="2" t="s">
        <v>40</v>
      </c>
      <c r="Q23" s="1">
        <f>P19+R19*O23-R18*O22</f>
        <v>1.4431512374013522E-9</v>
      </c>
    </row>
    <row r="24" spans="1:18" x14ac:dyDescent="0.25">
      <c r="N24" s="1"/>
      <c r="O24" s="1"/>
      <c r="P24" s="1"/>
      <c r="Q24" s="1"/>
    </row>
    <row r="25" spans="1:18" x14ac:dyDescent="0.25">
      <c r="N25" s="1"/>
      <c r="O25" s="1"/>
      <c r="P25" s="4" t="s">
        <v>14</v>
      </c>
      <c r="Q25" s="9">
        <f>Q22^2+Q23^2</f>
        <v>1.206201598358669E-17</v>
      </c>
    </row>
    <row r="26" spans="1:18" s="22" customFormat="1" x14ac:dyDescent="0.25">
      <c r="R26" s="24"/>
    </row>
    <row r="27" spans="1:18" s="22" customFormat="1" x14ac:dyDescent="0.25">
      <c r="R27" s="24"/>
    </row>
    <row r="28" spans="1:18" s="22" customFormat="1" x14ac:dyDescent="0.25">
      <c r="R28" s="24"/>
    </row>
    <row r="29" spans="1:18" x14ac:dyDescent="0.25">
      <c r="I29" s="16"/>
      <c r="J29" s="16"/>
      <c r="L29" s="21">
        <f>L3+O22</f>
        <v>-7.0392400691919122E-4</v>
      </c>
      <c r="M29" s="21"/>
      <c r="N29" s="20"/>
      <c r="O29" s="16"/>
    </row>
    <row r="30" spans="1:18" x14ac:dyDescent="0.25">
      <c r="I30" s="16"/>
      <c r="J30" s="16"/>
      <c r="L30" s="21">
        <f>L4+O23</f>
        <v>-5.8216141659429756E-3</v>
      </c>
      <c r="M30" s="21"/>
      <c r="N30" s="20"/>
      <c r="O30" s="16"/>
    </row>
    <row r="31" spans="1:18" x14ac:dyDescent="0.25">
      <c r="A31" s="2" t="s">
        <v>29</v>
      </c>
      <c r="D31" s="28" t="s">
        <v>19</v>
      </c>
      <c r="E31" s="28"/>
      <c r="P31" s="31" t="s">
        <v>22</v>
      </c>
      <c r="Q31" s="31"/>
    </row>
    <row r="32" spans="1:18" x14ac:dyDescent="0.25">
      <c r="C32" s="11" t="s">
        <v>21</v>
      </c>
      <c r="D32" s="10" t="s">
        <v>4</v>
      </c>
      <c r="E32" s="10" t="s">
        <v>5</v>
      </c>
      <c r="F32" s="2" t="s">
        <v>6</v>
      </c>
      <c r="G32" s="2" t="s">
        <v>7</v>
      </c>
      <c r="H32" s="2" t="s">
        <v>8</v>
      </c>
      <c r="I32" s="2" t="s">
        <v>9</v>
      </c>
      <c r="J32" s="2" t="s">
        <v>0</v>
      </c>
      <c r="K32" s="2"/>
      <c r="L32" s="2"/>
      <c r="M32" s="2"/>
      <c r="N32" s="2" t="s">
        <v>1</v>
      </c>
      <c r="O32" s="2" t="s">
        <v>12</v>
      </c>
      <c r="P32" s="12" t="s">
        <v>28</v>
      </c>
      <c r="Q32" s="12" t="s">
        <v>6</v>
      </c>
      <c r="R32" s="2" t="s">
        <v>37</v>
      </c>
    </row>
    <row r="33" spans="3:18" x14ac:dyDescent="0.25">
      <c r="C33" s="11">
        <v>12</v>
      </c>
      <c r="D33" s="11">
        <v>100</v>
      </c>
      <c r="E33" s="11">
        <v>0.14099999999999999</v>
      </c>
      <c r="F33" s="1">
        <v>17</v>
      </c>
      <c r="G33" s="1">
        <f>F33/1000</f>
        <v>1.7000000000000001E-2</v>
      </c>
      <c r="H33" s="1">
        <f>G33+L29</f>
        <v>1.6296075993080809E-2</v>
      </c>
      <c r="I33" s="1">
        <f>ABS(4*G33/PI()/E33^2)</f>
        <v>1.0887315658416463</v>
      </c>
      <c r="J33" s="1">
        <f>I33*E33/$C$2</f>
        <v>153511.15078367211</v>
      </c>
      <c r="K33" s="1">
        <f>5.74/J33^0.9</f>
        <v>1.2342011813537231E-4</v>
      </c>
      <c r="L33" s="1">
        <f>$C$3/E33/3.7</f>
        <v>1.9168104274487255E-4</v>
      </c>
      <c r="M33" s="1">
        <f>LOG10(K33+L33)</f>
        <v>-3.5015499968166197</v>
      </c>
      <c r="N33" s="1">
        <f>0.25/M33^2</f>
        <v>2.0390099501042199E-2</v>
      </c>
      <c r="O33" s="1">
        <f>8*N33*D33/9.81/PI()^2/E33^5</f>
        <v>3023.0478125050395</v>
      </c>
      <c r="P33" s="13">
        <f>O33*H33*ABS(H33)</f>
        <v>0.80280690363945506</v>
      </c>
      <c r="Q33" s="14">
        <f>H33*1000</f>
        <v>16.296075993080809</v>
      </c>
      <c r="R33" s="1">
        <f>2*P33/H33</f>
        <v>98.52763376659766</v>
      </c>
    </row>
    <row r="34" spans="3:18" x14ac:dyDescent="0.25">
      <c r="C34" s="11">
        <v>25</v>
      </c>
      <c r="D34" s="11">
        <v>120</v>
      </c>
      <c r="E34" s="11">
        <v>0.1234</v>
      </c>
      <c r="F34" s="1">
        <v>10</v>
      </c>
      <c r="G34" s="1">
        <f t="shared" ref="G34:G36" si="12">F34/1000</f>
        <v>0.01</v>
      </c>
      <c r="H34" s="1">
        <f>G34+L29-L30</f>
        <v>1.5117690159023785E-2</v>
      </c>
      <c r="I34" s="1">
        <f t="shared" ref="I34:I36" si="13">ABS(4*G34/PI()/E34^2)</f>
        <v>0.83614153858869245</v>
      </c>
      <c r="J34" s="1">
        <f>I34*E34/$C$2</f>
        <v>103179.86586184465</v>
      </c>
      <c r="K34" s="1">
        <f>5.74/J34^0.9</f>
        <v>1.7647225261136875E-4</v>
      </c>
      <c r="L34" s="1">
        <f>$C$3/E34/3.7</f>
        <v>2.1901966796618338E-4</v>
      </c>
      <c r="M34" s="1">
        <f t="shared" ref="M34:M36" si="14">LOG10(K34+L34)</f>
        <v>-3.4028623841876109</v>
      </c>
      <c r="N34" s="1">
        <f>0.25/M34^2</f>
        <v>2.1589930114305326E-2</v>
      </c>
      <c r="O34" s="1">
        <f>8*N34*D34/9.81/PI()^2/E34^5</f>
        <v>7481.3146085462522</v>
      </c>
      <c r="P34" s="13">
        <f t="shared" ref="P34:P36" si="15">O34*H34*ABS(H34)</f>
        <v>1.7098137235931303</v>
      </c>
      <c r="Q34" s="14">
        <f t="shared" ref="Q34:Q36" si="16">H34*1000</f>
        <v>15.117690159023786</v>
      </c>
      <c r="R34" s="1">
        <f t="shared" ref="R34:R36" si="17">2*P34/H34</f>
        <v>226.20039246836112</v>
      </c>
    </row>
    <row r="35" spans="3:18" x14ac:dyDescent="0.25">
      <c r="C35" s="11">
        <v>56</v>
      </c>
      <c r="D35" s="11">
        <v>150</v>
      </c>
      <c r="E35" s="11">
        <v>0.1234</v>
      </c>
      <c r="F35" s="1">
        <f>-11</f>
        <v>-11</v>
      </c>
      <c r="G35" s="1">
        <f t="shared" si="12"/>
        <v>-1.0999999999999999E-2</v>
      </c>
      <c r="H35" s="1">
        <f>G35+L29</f>
        <v>-1.170392400691919E-2</v>
      </c>
      <c r="I35" s="1">
        <f t="shared" si="13"/>
        <v>0.9197556924475615</v>
      </c>
      <c r="J35" s="1">
        <f>I35*E35/$C$2</f>
        <v>113497.85244802909</v>
      </c>
      <c r="K35" s="1">
        <f>5.74/J35^0.9</f>
        <v>1.6196568522393215E-4</v>
      </c>
      <c r="L35" s="1">
        <f>$C$3/E35/3.7</f>
        <v>2.1901966796618338E-4</v>
      </c>
      <c r="M35" s="1">
        <f t="shared" si="14"/>
        <v>-3.419091720258717</v>
      </c>
      <c r="N35" s="1">
        <f>0.25/M35^2</f>
        <v>2.1385455555017013E-2</v>
      </c>
      <c r="O35" s="1">
        <f>8*N35*D35/9.81/PI()^2/E35^5</f>
        <v>9263.0754365061784</v>
      </c>
      <c r="P35" s="13">
        <f t="shared" si="15"/>
        <v>-1.2688730910418708</v>
      </c>
      <c r="Q35" s="14">
        <f t="shared" si="16"/>
        <v>-11.703924006919189</v>
      </c>
      <c r="R35" s="1">
        <f t="shared" si="17"/>
        <v>216.82866195845622</v>
      </c>
    </row>
    <row r="36" spans="3:18" x14ac:dyDescent="0.25">
      <c r="C36" s="11">
        <v>61</v>
      </c>
      <c r="D36" s="11">
        <v>100</v>
      </c>
      <c r="E36" s="11">
        <v>0.14099999999999999</v>
      </c>
      <c r="F36" s="1">
        <f>-18</f>
        <v>-18</v>
      </c>
      <c r="G36" s="1">
        <f t="shared" si="12"/>
        <v>-1.7999999999999999E-2</v>
      </c>
      <c r="H36" s="1">
        <f>G36+L29</f>
        <v>-1.8703924006919191E-2</v>
      </c>
      <c r="I36" s="1">
        <f t="shared" si="13"/>
        <v>1.1527745991264491</v>
      </c>
      <c r="J36" s="1">
        <f>I36*E36/$C$2</f>
        <v>162541.21847682932</v>
      </c>
      <c r="K36" s="1">
        <f>5.74/J36^0.9</f>
        <v>1.1723161081392932E-4</v>
      </c>
      <c r="L36" s="1">
        <f>$C$3/E36/3.7</f>
        <v>1.9168104274487255E-4</v>
      </c>
      <c r="M36" s="1">
        <f t="shared" si="14"/>
        <v>-3.5101643019341826</v>
      </c>
      <c r="N36" s="1">
        <f>0.25/M36^2</f>
        <v>2.0290143489852117E-2</v>
      </c>
      <c r="O36" s="1">
        <f>8*N36*D36/9.81/PI()^2/E36^5</f>
        <v>3008.2282771241826</v>
      </c>
      <c r="P36" s="13">
        <f t="shared" si="15"/>
        <v>-1.0523888736884093</v>
      </c>
      <c r="Q36" s="14">
        <f t="shared" si="16"/>
        <v>-18.703924006919191</v>
      </c>
      <c r="R36" s="1">
        <f t="shared" si="17"/>
        <v>112.5313461815923</v>
      </c>
    </row>
    <row r="37" spans="3:18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2" t="s">
        <v>13</v>
      </c>
      <c r="P37" s="15">
        <f>SUM(P33:P36)</f>
        <v>0.19135866250230538</v>
      </c>
      <c r="Q37" s="2" t="s">
        <v>38</v>
      </c>
      <c r="R37" s="15">
        <f>SUM(R33:R36)</f>
        <v>654.08803437500728</v>
      </c>
    </row>
    <row r="39" spans="3:18" x14ac:dyDescent="0.25">
      <c r="C39" s="1"/>
      <c r="D39" s="28" t="s">
        <v>19</v>
      </c>
      <c r="E39" s="28"/>
      <c r="F39" s="1"/>
      <c r="G39" s="1"/>
      <c r="H39" s="1"/>
      <c r="I39" s="1"/>
      <c r="J39" s="1"/>
      <c r="K39" s="1"/>
      <c r="L39" s="1"/>
      <c r="M39" s="1"/>
      <c r="N39" s="1"/>
      <c r="O39" s="1"/>
      <c r="P39" s="31" t="s">
        <v>22</v>
      </c>
      <c r="Q39" s="31"/>
    </row>
    <row r="40" spans="3:18" x14ac:dyDescent="0.25">
      <c r="C40" s="11" t="s">
        <v>21</v>
      </c>
      <c r="D40" s="10" t="s">
        <v>4</v>
      </c>
      <c r="E40" s="10" t="s">
        <v>5</v>
      </c>
      <c r="F40" s="2" t="s">
        <v>6</v>
      </c>
      <c r="G40" s="2" t="s">
        <v>7</v>
      </c>
      <c r="H40" s="2" t="s">
        <v>8</v>
      </c>
      <c r="I40" s="2" t="s">
        <v>9</v>
      </c>
      <c r="J40" s="2" t="s">
        <v>0</v>
      </c>
      <c r="K40" s="2"/>
      <c r="L40" s="2"/>
      <c r="M40" s="2"/>
      <c r="N40" s="2" t="s">
        <v>1</v>
      </c>
      <c r="O40" s="2" t="s">
        <v>12</v>
      </c>
      <c r="P40" s="12" t="s">
        <v>28</v>
      </c>
      <c r="Q40" s="12" t="s">
        <v>6</v>
      </c>
      <c r="R40" s="2" t="s">
        <v>37</v>
      </c>
    </row>
    <row r="41" spans="3:18" x14ac:dyDescent="0.25">
      <c r="C41" s="11">
        <v>23</v>
      </c>
      <c r="D41" s="11">
        <v>300</v>
      </c>
      <c r="E41" s="11">
        <v>0.14099999999999999</v>
      </c>
      <c r="F41" s="1">
        <v>14</v>
      </c>
      <c r="G41" s="1">
        <f>F41/1000</f>
        <v>1.4E-2</v>
      </c>
      <c r="H41" s="1">
        <f>G41+L30</f>
        <v>8.1783858340570247E-3</v>
      </c>
      <c r="I41" s="1">
        <f>ABS(4*G41/PI()/E41^2)</f>
        <v>0.89660246598723814</v>
      </c>
      <c r="J41" s="1">
        <f>I41*E41/$C$2</f>
        <v>126420.94770420057</v>
      </c>
      <c r="K41" s="1">
        <f>5.74/J41^0.9</f>
        <v>1.4698558828147497E-4</v>
      </c>
      <c r="L41" s="1">
        <f>$C$3/E41/3.7</f>
        <v>1.9168104274487255E-4</v>
      </c>
      <c r="M41" s="1">
        <f>LOG10(K41+L41)</f>
        <v>-3.4702275924756836</v>
      </c>
      <c r="N41" s="1">
        <f>0.25/M41^2</f>
        <v>2.0759844274204055E-2</v>
      </c>
      <c r="O41" s="1">
        <f>8*N41*D41/9.81/PI()^2/E41^5</f>
        <v>9233.5991520595708</v>
      </c>
      <c r="P41" s="13">
        <f>O41*H41*ABS(H41)</f>
        <v>0.61759846533812701</v>
      </c>
      <c r="Q41" s="14">
        <f>H41*1000</f>
        <v>8.1783858340570248</v>
      </c>
      <c r="R41" s="1">
        <f>2*P41/H41</f>
        <v>151.03187300512991</v>
      </c>
    </row>
    <row r="42" spans="3:18" x14ac:dyDescent="0.25">
      <c r="C42" s="11">
        <v>34</v>
      </c>
      <c r="D42" s="11">
        <v>100</v>
      </c>
      <c r="E42" s="11">
        <v>0.17599999999999999</v>
      </c>
      <c r="F42" s="1">
        <v>40</v>
      </c>
      <c r="G42" s="1">
        <f t="shared" ref="G42:G44" si="18">F42/1000</f>
        <v>0.04</v>
      </c>
      <c r="H42" s="1">
        <f>G42+L30</f>
        <v>3.4178385834057023E-2</v>
      </c>
      <c r="I42" s="1">
        <f t="shared" ref="I42:I44" si="19">ABS(4*G42/PI()/E42^2)</f>
        <v>1.644162635246853</v>
      </c>
      <c r="J42" s="1">
        <f>I42*E42/$C$2</f>
        <v>289372.62380344613</v>
      </c>
      <c r="K42" s="1">
        <f>5.74/J42^0.9</f>
        <v>6.9758991669426892E-5</v>
      </c>
      <c r="L42" s="1">
        <f>$C$3/E42/3.7</f>
        <v>1.5356265356265359E-4</v>
      </c>
      <c r="M42" s="1">
        <f t="shared" ref="M42:M44" si="20">LOG10(K42+L42)</f>
        <v>-3.6510691813205245</v>
      </c>
      <c r="N42" s="1">
        <f>0.25/M42^2</f>
        <v>1.8754257919661035E-2</v>
      </c>
      <c r="O42" s="1">
        <f>8*N42*D42/9.81/PI()^2/E42^5</f>
        <v>917.6092430301386</v>
      </c>
      <c r="P42" s="13">
        <f t="shared" ref="P42:P44" si="21">O42*H42*ABS(H42)</f>
        <v>1.0719163019813152</v>
      </c>
      <c r="Q42" s="14">
        <f t="shared" ref="Q42:Q44" si="22">H42*1000</f>
        <v>34.178385834057025</v>
      </c>
      <c r="R42" s="1">
        <f t="shared" ref="R42:R44" si="23">2*P42/H42</f>
        <v>62.724805506362159</v>
      </c>
    </row>
    <row r="43" spans="3:18" x14ac:dyDescent="0.25">
      <c r="C43" s="11">
        <v>45</v>
      </c>
      <c r="D43" s="11">
        <v>100</v>
      </c>
      <c r="E43" s="11">
        <v>0.17599999999999999</v>
      </c>
      <c r="F43" s="1">
        <v>29</v>
      </c>
      <c r="G43" s="1">
        <f t="shared" si="18"/>
        <v>2.9000000000000001E-2</v>
      </c>
      <c r="H43" s="1">
        <f>G43+L30</f>
        <v>2.3178385834057028E-2</v>
      </c>
      <c r="I43" s="1">
        <f t="shared" si="19"/>
        <v>1.1920179105539686</v>
      </c>
      <c r="J43" s="1">
        <f>I43*E43/$C$2</f>
        <v>209795.15225749847</v>
      </c>
      <c r="K43" s="1">
        <f>5.74/J43^0.9</f>
        <v>9.317426779325617E-5</v>
      </c>
      <c r="L43" s="1">
        <f>$C$3/E43/3.7</f>
        <v>1.5356265356265359E-4</v>
      </c>
      <c r="M43" s="1">
        <f t="shared" si="20"/>
        <v>-3.6077658584495893</v>
      </c>
      <c r="N43" s="1">
        <f>0.25/M43^2</f>
        <v>1.9207167331474227E-2</v>
      </c>
      <c r="O43" s="1">
        <f>8*N43*D43/9.81/PI()^2/E43^5</f>
        <v>939.76921674466462</v>
      </c>
      <c r="P43" s="13">
        <f t="shared" si="21"/>
        <v>0.50487933024480691</v>
      </c>
      <c r="Q43" s="14">
        <f t="shared" si="22"/>
        <v>23.178385834057028</v>
      </c>
      <c r="R43" s="1">
        <f t="shared" si="23"/>
        <v>43.564667001354806</v>
      </c>
    </row>
    <row r="44" spans="3:18" x14ac:dyDescent="0.25">
      <c r="C44" s="11">
        <v>25</v>
      </c>
      <c r="D44" s="11">
        <v>120</v>
      </c>
      <c r="E44" s="11">
        <v>0.1234</v>
      </c>
      <c r="F44" s="1">
        <f>-10</f>
        <v>-10</v>
      </c>
      <c r="G44" s="1">
        <f t="shared" si="18"/>
        <v>-0.01</v>
      </c>
      <c r="H44" s="1">
        <f>G44+L30-L29</f>
        <v>-1.5117690159023785E-2</v>
      </c>
      <c r="I44" s="1">
        <f t="shared" si="19"/>
        <v>0.83614153858869245</v>
      </c>
      <c r="J44" s="1">
        <f>I44*E44/$C$2</f>
        <v>103179.86586184465</v>
      </c>
      <c r="K44" s="1">
        <f>5.74/J44^0.9</f>
        <v>1.7647225261136875E-4</v>
      </c>
      <c r="L44" s="1">
        <f>$C$3/E44/3.7</f>
        <v>2.1901966796618338E-4</v>
      </c>
      <c r="M44" s="1">
        <f t="shared" si="20"/>
        <v>-3.4028623841876109</v>
      </c>
      <c r="N44" s="1">
        <f>0.25/M44^2</f>
        <v>2.1589930114305326E-2</v>
      </c>
      <c r="O44" s="1">
        <f>8*N44*D44/9.81/PI()^2/E44^5</f>
        <v>7481.3146085462522</v>
      </c>
      <c r="P44" s="13">
        <f t="shared" si="21"/>
        <v>-1.7098137235931303</v>
      </c>
      <c r="Q44" s="14">
        <f t="shared" si="22"/>
        <v>-15.117690159023786</v>
      </c>
      <c r="R44" s="1">
        <f t="shared" si="23"/>
        <v>226.20039246836112</v>
      </c>
    </row>
    <row r="45" spans="3:18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2" t="s">
        <v>13</v>
      </c>
      <c r="P45" s="1">
        <f>SUM(P41:P44)</f>
        <v>0.48458037397111875</v>
      </c>
      <c r="Q45" s="2" t="s">
        <v>38</v>
      </c>
      <c r="R45" s="15">
        <f>SUM(R41:R44)</f>
        <v>483.52173798120793</v>
      </c>
    </row>
    <row r="46" spans="3:18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8"/>
      <c r="P46" s="8"/>
    </row>
    <row r="47" spans="3:18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30" t="s">
        <v>20</v>
      </c>
      <c r="O47" s="30"/>
    </row>
    <row r="48" spans="3:18" x14ac:dyDescent="0.25">
      <c r="N48" s="4" t="s">
        <v>15</v>
      </c>
      <c r="O48" s="9">
        <v>-7.625008655159568E-4</v>
      </c>
      <c r="P48" s="2" t="s">
        <v>39</v>
      </c>
      <c r="Q48" s="1">
        <f>P37+R37*O48-R34*O49</f>
        <v>2.6268149322383749E-9</v>
      </c>
    </row>
    <row r="49" spans="1:20" x14ac:dyDescent="0.25">
      <c r="N49" s="4" t="s">
        <v>16</v>
      </c>
      <c r="O49" s="9">
        <v>-1.3589014108455963E-3</v>
      </c>
      <c r="P49" s="2" t="s">
        <v>40</v>
      </c>
      <c r="Q49" s="1">
        <f>P45+R45*O49-R44*O48</f>
        <v>-2.9088849662350924E-9</v>
      </c>
    </row>
    <row r="50" spans="1:20" x14ac:dyDescent="0.25">
      <c r="N50" s="1"/>
      <c r="O50" s="1"/>
      <c r="P50" s="1"/>
      <c r="Q50" s="1"/>
    </row>
    <row r="51" spans="1:20" x14ac:dyDescent="0.25">
      <c r="N51" s="1"/>
      <c r="O51" s="1"/>
      <c r="P51" s="4" t="s">
        <v>14</v>
      </c>
      <c r="Q51" s="9">
        <f>Q48^2+Q49^2</f>
        <v>1.5361768435019033E-17</v>
      </c>
    </row>
    <row r="52" spans="1:20" s="22" customFormat="1" x14ac:dyDescent="0.25">
      <c r="R52" s="24"/>
    </row>
    <row r="53" spans="1:20" s="22" customFormat="1" x14ac:dyDescent="0.25">
      <c r="R53" s="24"/>
    </row>
    <row r="54" spans="1:20" s="22" customFormat="1" x14ac:dyDescent="0.25">
      <c r="R54" s="24"/>
    </row>
    <row r="55" spans="1:20" x14ac:dyDescent="0.25">
      <c r="C55" s="16"/>
      <c r="I55" s="16"/>
      <c r="J55" s="16"/>
      <c r="L55" s="21">
        <f>L29+O48</f>
        <v>-1.466424872435148E-3</v>
      </c>
      <c r="M55" s="21"/>
      <c r="N55" s="20"/>
      <c r="O55" s="16"/>
      <c r="S55" s="16"/>
      <c r="T55" s="16"/>
    </row>
    <row r="56" spans="1:20" x14ac:dyDescent="0.25">
      <c r="C56" s="16"/>
      <c r="I56" s="16"/>
      <c r="J56" s="16"/>
      <c r="L56" s="21">
        <f>L30+O49</f>
        <v>-7.1805155767885719E-3</v>
      </c>
      <c r="M56" s="21"/>
      <c r="N56" s="20"/>
      <c r="O56" s="16"/>
      <c r="S56" s="16"/>
      <c r="T56" s="16"/>
    </row>
    <row r="57" spans="1:20" x14ac:dyDescent="0.25">
      <c r="A57" s="2" t="s">
        <v>30</v>
      </c>
      <c r="C57" s="16"/>
      <c r="D57" s="28" t="s">
        <v>19</v>
      </c>
      <c r="E57" s="28"/>
      <c r="P57" s="31" t="s">
        <v>22</v>
      </c>
      <c r="Q57" s="31"/>
      <c r="S57" s="16"/>
      <c r="T57" s="16"/>
    </row>
    <row r="58" spans="1:20" x14ac:dyDescent="0.25">
      <c r="C58" s="11" t="s">
        <v>21</v>
      </c>
      <c r="D58" s="10" t="s">
        <v>4</v>
      </c>
      <c r="E58" s="10" t="s">
        <v>5</v>
      </c>
      <c r="F58" s="2" t="s">
        <v>6</v>
      </c>
      <c r="G58" s="2" t="s">
        <v>7</v>
      </c>
      <c r="H58" s="2" t="s">
        <v>8</v>
      </c>
      <c r="I58" s="2" t="s">
        <v>9</v>
      </c>
      <c r="J58" s="2" t="s">
        <v>0</v>
      </c>
      <c r="K58" s="2"/>
      <c r="L58" s="2"/>
      <c r="M58" s="2"/>
      <c r="N58" s="2" t="s">
        <v>1</v>
      </c>
      <c r="O58" s="2" t="s">
        <v>12</v>
      </c>
      <c r="P58" s="12" t="s">
        <v>28</v>
      </c>
      <c r="Q58" s="12" t="s">
        <v>6</v>
      </c>
      <c r="R58" s="2" t="s">
        <v>37</v>
      </c>
      <c r="S58" s="16"/>
      <c r="T58" s="16"/>
    </row>
    <row r="59" spans="1:20" x14ac:dyDescent="0.25">
      <c r="C59" s="11">
        <v>12</v>
      </c>
      <c r="D59" s="11">
        <v>100</v>
      </c>
      <c r="E59" s="11">
        <v>0.14099999999999999</v>
      </c>
      <c r="F59" s="1">
        <v>17</v>
      </c>
      <c r="G59" s="1">
        <f>F59/1000</f>
        <v>1.7000000000000001E-2</v>
      </c>
      <c r="H59" s="1">
        <f>G59+L55</f>
        <v>1.5533575127564854E-2</v>
      </c>
      <c r="I59" s="1">
        <f>ABS(4*G59/PI()/E59^2)</f>
        <v>1.0887315658416463</v>
      </c>
      <c r="J59" s="1">
        <f>I59*E59/$C$2</f>
        <v>153511.15078367211</v>
      </c>
      <c r="K59" s="1">
        <f>5.74/J59^0.9</f>
        <v>1.2342011813537231E-4</v>
      </c>
      <c r="L59" s="1">
        <f>$C$3/E59/3.7</f>
        <v>1.9168104274487255E-4</v>
      </c>
      <c r="M59" s="1">
        <f>LOG10(K59+L59)</f>
        <v>-3.5015499968166197</v>
      </c>
      <c r="N59" s="1">
        <f>0.25/M59^2</f>
        <v>2.0390099501042199E-2</v>
      </c>
      <c r="O59" s="1">
        <f>8*N59*D59/9.81/PI()^2/E59^5</f>
        <v>3023.0478125050395</v>
      </c>
      <c r="P59" s="13">
        <f>O59*H59*ABS(H59)</f>
        <v>0.72943712049758336</v>
      </c>
      <c r="Q59" s="14">
        <f>H59*1000</f>
        <v>15.533575127564854</v>
      </c>
      <c r="R59" s="1">
        <f>2*P59/H59</f>
        <v>93.91748061953524</v>
      </c>
      <c r="S59" s="16"/>
      <c r="T59" s="16"/>
    </row>
    <row r="60" spans="1:20" x14ac:dyDescent="0.25">
      <c r="C60" s="11">
        <v>25</v>
      </c>
      <c r="D60" s="11">
        <v>120</v>
      </c>
      <c r="E60" s="11">
        <v>0.1234</v>
      </c>
      <c r="F60" s="1">
        <v>10</v>
      </c>
      <c r="G60" s="1">
        <f t="shared" ref="G60:G62" si="24">F60/1000</f>
        <v>0.01</v>
      </c>
      <c r="H60" s="1">
        <f>G60+L55-L56</f>
        <v>1.5714090704353423E-2</v>
      </c>
      <c r="I60" s="1">
        <f t="shared" ref="I60:I62" si="25">ABS(4*G60/PI()/E60^2)</f>
        <v>0.83614153858869245</v>
      </c>
      <c r="J60" s="1">
        <f>I60*E60/$C$2</f>
        <v>103179.86586184465</v>
      </c>
      <c r="K60" s="1">
        <f>5.74/J60^0.9</f>
        <v>1.7647225261136875E-4</v>
      </c>
      <c r="L60" s="1">
        <f>$C$3/E60/3.7</f>
        <v>2.1901966796618338E-4</v>
      </c>
      <c r="M60" s="1">
        <f t="shared" ref="M60:M62" si="26">LOG10(K60+L60)</f>
        <v>-3.4028623841876109</v>
      </c>
      <c r="N60" s="1">
        <f>0.25/M60^2</f>
        <v>2.1589930114305326E-2</v>
      </c>
      <c r="O60" s="1">
        <f>8*N60*D60/9.81/PI()^2/E60^5</f>
        <v>7481.3146085462522</v>
      </c>
      <c r="P60" s="13">
        <f t="shared" ref="P60:P62" si="27">O60*H60*ABS(H60)</f>
        <v>1.847380816819211</v>
      </c>
      <c r="Q60" s="14">
        <f t="shared" ref="Q60:Q62" si="28">H60*1000</f>
        <v>15.714090704353422</v>
      </c>
      <c r="R60" s="1">
        <f t="shared" ref="R60:R62" si="29">2*P60/H60</f>
        <v>235.12411269300026</v>
      </c>
      <c r="S60" s="16"/>
      <c r="T60" s="16"/>
    </row>
    <row r="61" spans="1:20" x14ac:dyDescent="0.25">
      <c r="C61" s="11">
        <v>56</v>
      </c>
      <c r="D61" s="11">
        <v>150</v>
      </c>
      <c r="E61" s="11">
        <v>0.1234</v>
      </c>
      <c r="F61" s="1">
        <f>-11</f>
        <v>-11</v>
      </c>
      <c r="G61" s="1">
        <f t="shared" si="24"/>
        <v>-1.0999999999999999E-2</v>
      </c>
      <c r="H61" s="1">
        <f>G61+L55</f>
        <v>-1.2466424872435147E-2</v>
      </c>
      <c r="I61" s="1">
        <f t="shared" si="25"/>
        <v>0.9197556924475615</v>
      </c>
      <c r="J61" s="1">
        <f>I61*E61/$C$2</f>
        <v>113497.85244802909</v>
      </c>
      <c r="K61" s="1">
        <f>5.74/J61^0.9</f>
        <v>1.6196568522393215E-4</v>
      </c>
      <c r="L61" s="1">
        <f>$C$3/E61/3.7</f>
        <v>2.1901966796618338E-4</v>
      </c>
      <c r="M61" s="1">
        <f t="shared" si="26"/>
        <v>-3.419091720258717</v>
      </c>
      <c r="N61" s="1">
        <f>0.25/M61^2</f>
        <v>2.1385455555017013E-2</v>
      </c>
      <c r="O61" s="1">
        <f>8*N61*D61/9.81/PI()^2/E61^5</f>
        <v>9263.0754365061784</v>
      </c>
      <c r="P61" s="13">
        <f t="shared" si="27"/>
        <v>-1.4395907556333165</v>
      </c>
      <c r="Q61" s="14">
        <f t="shared" si="28"/>
        <v>-12.466424872435146</v>
      </c>
      <c r="R61" s="1">
        <f t="shared" si="29"/>
        <v>230.95486803380734</v>
      </c>
      <c r="S61" s="16"/>
      <c r="T61" s="16"/>
    </row>
    <row r="62" spans="1:20" x14ac:dyDescent="0.25">
      <c r="C62" s="11">
        <v>61</v>
      </c>
      <c r="D62" s="11">
        <v>100</v>
      </c>
      <c r="E62" s="11">
        <v>0.14099999999999999</v>
      </c>
      <c r="F62" s="1">
        <f>-18</f>
        <v>-18</v>
      </c>
      <c r="G62" s="1">
        <f t="shared" si="24"/>
        <v>-1.7999999999999999E-2</v>
      </c>
      <c r="H62" s="1">
        <f>G62+L55</f>
        <v>-1.9466424872435148E-2</v>
      </c>
      <c r="I62" s="1">
        <f t="shared" si="25"/>
        <v>1.1527745991264491</v>
      </c>
      <c r="J62" s="1">
        <f>I62*E62/$C$2</f>
        <v>162541.21847682932</v>
      </c>
      <c r="K62" s="1">
        <f>5.74/J62^0.9</f>
        <v>1.1723161081392932E-4</v>
      </c>
      <c r="L62" s="1">
        <f>$C$3/E62/3.7</f>
        <v>1.9168104274487255E-4</v>
      </c>
      <c r="M62" s="1">
        <f t="shared" si="26"/>
        <v>-3.5101643019341826</v>
      </c>
      <c r="N62" s="1">
        <f>0.25/M62^2</f>
        <v>2.0290143489852117E-2</v>
      </c>
      <c r="O62" s="1">
        <f>8*N62*D62/9.81/PI()^2/E62^5</f>
        <v>3008.2282771241826</v>
      </c>
      <c r="P62" s="13">
        <f t="shared" si="27"/>
        <v>-1.1399431292418944</v>
      </c>
      <c r="Q62" s="14">
        <f t="shared" si="28"/>
        <v>-19.466424872435148</v>
      </c>
      <c r="R62" s="1">
        <f t="shared" si="29"/>
        <v>117.11889951154585</v>
      </c>
      <c r="S62" s="16"/>
      <c r="T62" s="16"/>
    </row>
    <row r="63" spans="1:20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2" t="s">
        <v>13</v>
      </c>
      <c r="P63" s="15">
        <f>SUM(P59:P62)</f>
        <v>-2.7159475584168646E-3</v>
      </c>
      <c r="Q63" s="2" t="s">
        <v>38</v>
      </c>
      <c r="R63" s="15">
        <f>SUM(R59:R62)</f>
        <v>677.11536085788862</v>
      </c>
      <c r="S63" s="16"/>
      <c r="T63" s="16"/>
    </row>
    <row r="64" spans="1:20" x14ac:dyDescent="0.25">
      <c r="S64" s="16"/>
      <c r="T64" s="16"/>
    </row>
    <row r="65" spans="3:20" x14ac:dyDescent="0.25">
      <c r="C65" s="1"/>
      <c r="D65" s="28" t="s">
        <v>19</v>
      </c>
      <c r="E65" s="28"/>
      <c r="F65" s="1"/>
      <c r="G65" s="1"/>
      <c r="H65" s="1"/>
      <c r="I65" s="1"/>
      <c r="J65" s="1"/>
      <c r="K65" s="1"/>
      <c r="L65" s="1"/>
      <c r="M65" s="1"/>
      <c r="N65" s="1"/>
      <c r="O65" s="1"/>
      <c r="P65" s="31" t="s">
        <v>22</v>
      </c>
      <c r="Q65" s="31"/>
      <c r="S65" s="16"/>
      <c r="T65" s="16"/>
    </row>
    <row r="66" spans="3:20" x14ac:dyDescent="0.25">
      <c r="C66" s="11" t="s">
        <v>21</v>
      </c>
      <c r="D66" s="10" t="s">
        <v>4</v>
      </c>
      <c r="E66" s="10" t="s">
        <v>5</v>
      </c>
      <c r="F66" s="2" t="s">
        <v>6</v>
      </c>
      <c r="G66" s="2" t="s">
        <v>7</v>
      </c>
      <c r="H66" s="2" t="s">
        <v>8</v>
      </c>
      <c r="I66" s="2" t="s">
        <v>9</v>
      </c>
      <c r="J66" s="2" t="s">
        <v>0</v>
      </c>
      <c r="K66" s="2"/>
      <c r="L66" s="2"/>
      <c r="M66" s="2"/>
      <c r="N66" s="2" t="s">
        <v>1</v>
      </c>
      <c r="O66" s="2" t="s">
        <v>12</v>
      </c>
      <c r="P66" s="12" t="s">
        <v>28</v>
      </c>
      <c r="Q66" s="12" t="s">
        <v>6</v>
      </c>
      <c r="R66" s="2" t="s">
        <v>37</v>
      </c>
      <c r="S66" s="16"/>
      <c r="T66" s="16"/>
    </row>
    <row r="67" spans="3:20" x14ac:dyDescent="0.25">
      <c r="C67" s="11">
        <v>23</v>
      </c>
      <c r="D67" s="11">
        <v>300</v>
      </c>
      <c r="E67" s="11">
        <v>0.14099999999999999</v>
      </c>
      <c r="F67" s="1">
        <v>14</v>
      </c>
      <c r="G67" s="1">
        <f>F67/1000</f>
        <v>1.4E-2</v>
      </c>
      <c r="H67" s="1">
        <f>G67+L56</f>
        <v>6.8194844232114284E-3</v>
      </c>
      <c r="I67" s="1">
        <f>ABS(4*G67/PI()/E67^2)</f>
        <v>0.89660246598723814</v>
      </c>
      <c r="J67" s="1">
        <f>I67*E67/$C$2</f>
        <v>126420.94770420057</v>
      </c>
      <c r="K67" s="1">
        <f>5.74/J67^0.9</f>
        <v>1.4698558828147497E-4</v>
      </c>
      <c r="L67" s="1">
        <f>$C$3/E67/3.7</f>
        <v>1.9168104274487255E-4</v>
      </c>
      <c r="M67" s="1">
        <f>LOG10(K67+L67)</f>
        <v>-3.4702275924756836</v>
      </c>
      <c r="N67" s="1">
        <f>0.25/M67^2</f>
        <v>2.0759844274204055E-2</v>
      </c>
      <c r="O67" s="1">
        <f>8*N67*D67/9.81/PI()^2/E67^5</f>
        <v>9233.5991520595708</v>
      </c>
      <c r="P67" s="13">
        <f>O67*H67*ABS(H67)</f>
        <v>0.42941192466973993</v>
      </c>
      <c r="Q67" s="14">
        <f>H67*1000</f>
        <v>6.8194844232114287</v>
      </c>
      <c r="R67" s="1">
        <f>2*P67/H67</f>
        <v>125.936771175297</v>
      </c>
      <c r="S67" s="16"/>
      <c r="T67" s="16"/>
    </row>
    <row r="68" spans="3:20" x14ac:dyDescent="0.25">
      <c r="C68" s="11">
        <v>34</v>
      </c>
      <c r="D68" s="11">
        <v>100</v>
      </c>
      <c r="E68" s="11">
        <v>0.17599999999999999</v>
      </c>
      <c r="F68" s="1">
        <v>40</v>
      </c>
      <c r="G68" s="1">
        <f t="shared" ref="G68:G70" si="30">F68/1000</f>
        <v>0.04</v>
      </c>
      <c r="H68" s="1">
        <f>G68+L56</f>
        <v>3.2819484423211427E-2</v>
      </c>
      <c r="I68" s="1">
        <f t="shared" ref="I68:I70" si="31">ABS(4*G68/PI()/E68^2)</f>
        <v>1.644162635246853</v>
      </c>
      <c r="J68" s="1">
        <f>I68*E68/$C$2</f>
        <v>289372.62380344613</v>
      </c>
      <c r="K68" s="1">
        <f>5.74/J68^0.9</f>
        <v>6.9758991669426892E-5</v>
      </c>
      <c r="L68" s="1">
        <f>$C$3/E68/3.7</f>
        <v>1.5356265356265359E-4</v>
      </c>
      <c r="M68" s="1">
        <f t="shared" ref="M68:M70" si="32">LOG10(K68+L68)</f>
        <v>-3.6510691813205245</v>
      </c>
      <c r="N68" s="1">
        <f>0.25/M68^2</f>
        <v>1.8754257919661035E-2</v>
      </c>
      <c r="O68" s="1">
        <f>8*N68*D68/9.81/PI()^2/E68^5</f>
        <v>917.6092430301386</v>
      </c>
      <c r="P68" s="13">
        <f t="shared" ref="P68:P70" si="33">O68*H68*ABS(H68)</f>
        <v>0.9883739444815437</v>
      </c>
      <c r="Q68" s="14">
        <f t="shared" ref="Q68:Q70" si="34">H68*1000</f>
        <v>32.819484423211428</v>
      </c>
      <c r="R68" s="1">
        <f t="shared" ref="R68:R70" si="35">2*P68/H68</f>
        <v>60.230924516444922</v>
      </c>
      <c r="S68" s="16"/>
      <c r="T68" s="16"/>
    </row>
    <row r="69" spans="3:20" x14ac:dyDescent="0.25">
      <c r="C69" s="11">
        <v>45</v>
      </c>
      <c r="D69" s="11">
        <v>100</v>
      </c>
      <c r="E69" s="11">
        <v>0.17599999999999999</v>
      </c>
      <c r="F69" s="1">
        <v>29</v>
      </c>
      <c r="G69" s="1">
        <f t="shared" si="30"/>
        <v>2.9000000000000001E-2</v>
      </c>
      <c r="H69" s="1">
        <f>G69+L56</f>
        <v>2.1819484423211431E-2</v>
      </c>
      <c r="I69" s="1">
        <f t="shared" si="31"/>
        <v>1.1920179105539686</v>
      </c>
      <c r="J69" s="1">
        <f>I69*E69/$C$2</f>
        <v>209795.15225749847</v>
      </c>
      <c r="K69" s="1">
        <f>5.74/J69^0.9</f>
        <v>9.317426779325617E-5</v>
      </c>
      <c r="L69" s="1">
        <f>$C$3/E69/3.7</f>
        <v>1.5356265356265359E-4</v>
      </c>
      <c r="M69" s="1">
        <f t="shared" si="32"/>
        <v>-3.6077658584495893</v>
      </c>
      <c r="N69" s="1">
        <f>0.25/M69^2</f>
        <v>1.9207167331474227E-2</v>
      </c>
      <c r="O69" s="1">
        <f>8*N69*D69/9.81/PI()^2/E69^5</f>
        <v>939.76921674466462</v>
      </c>
      <c r="P69" s="13">
        <f t="shared" si="33"/>
        <v>0.44741463288801181</v>
      </c>
      <c r="Q69" s="14">
        <f t="shared" si="34"/>
        <v>21.819484423211431</v>
      </c>
      <c r="R69" s="1">
        <f t="shared" si="35"/>
        <v>41.010559572347631</v>
      </c>
      <c r="S69" s="16"/>
      <c r="T69" s="16"/>
    </row>
    <row r="70" spans="3:20" x14ac:dyDescent="0.25">
      <c r="C70" s="11">
        <v>25</v>
      </c>
      <c r="D70" s="11">
        <v>120</v>
      </c>
      <c r="E70" s="11">
        <v>0.1234</v>
      </c>
      <c r="F70" s="1">
        <f>-10</f>
        <v>-10</v>
      </c>
      <c r="G70" s="1">
        <f t="shared" si="30"/>
        <v>-0.01</v>
      </c>
      <c r="H70" s="1">
        <f>G70+L56-L55</f>
        <v>-1.5714090704353423E-2</v>
      </c>
      <c r="I70" s="1">
        <f t="shared" si="31"/>
        <v>0.83614153858869245</v>
      </c>
      <c r="J70" s="1">
        <f>I70*E70/$C$2</f>
        <v>103179.86586184465</v>
      </c>
      <c r="K70" s="1">
        <f>5.74/J70^0.9</f>
        <v>1.7647225261136875E-4</v>
      </c>
      <c r="L70" s="1">
        <f>$C$3/E70/3.7</f>
        <v>2.1901966796618338E-4</v>
      </c>
      <c r="M70" s="1">
        <f t="shared" si="32"/>
        <v>-3.4028623841876109</v>
      </c>
      <c r="N70" s="1">
        <f>0.25/M70^2</f>
        <v>2.1589930114305326E-2</v>
      </c>
      <c r="O70" s="1">
        <f>8*N70*D70/9.81/PI()^2/E70^5</f>
        <v>7481.3146085462522</v>
      </c>
      <c r="P70" s="13">
        <f t="shared" si="33"/>
        <v>-1.847380816819211</v>
      </c>
      <c r="Q70" s="14">
        <f t="shared" si="34"/>
        <v>-15.714090704353422</v>
      </c>
      <c r="R70" s="1">
        <f t="shared" si="35"/>
        <v>235.12411269300026</v>
      </c>
      <c r="S70" s="16"/>
      <c r="T70" s="16"/>
    </row>
    <row r="71" spans="3:20" x14ac:dyDescent="0.25">
      <c r="C71" s="16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2" t="s">
        <v>13</v>
      </c>
      <c r="P71" s="1">
        <f>SUM(P67:P70)</f>
        <v>1.781968522008448E-2</v>
      </c>
      <c r="Q71" s="2" t="s">
        <v>38</v>
      </c>
      <c r="R71" s="15">
        <f>SUM(R67:R70)</f>
        <v>462.30236795708981</v>
      </c>
      <c r="S71" s="16"/>
      <c r="T71" s="16"/>
    </row>
    <row r="72" spans="3:20" x14ac:dyDescent="0.25">
      <c r="C72" s="16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8"/>
      <c r="P72" s="8"/>
      <c r="S72" s="16"/>
      <c r="T72" s="16"/>
    </row>
    <row r="73" spans="3:20" x14ac:dyDescent="0.25">
      <c r="C73" s="16"/>
      <c r="D73" s="1"/>
      <c r="E73" s="1"/>
      <c r="F73" s="1"/>
      <c r="G73" s="1"/>
      <c r="H73" s="1"/>
      <c r="I73" s="1"/>
      <c r="J73" s="1"/>
      <c r="K73" s="1"/>
      <c r="L73" s="1"/>
      <c r="M73" s="1"/>
      <c r="N73" s="30" t="s">
        <v>20</v>
      </c>
      <c r="O73" s="30"/>
      <c r="S73" s="16"/>
      <c r="T73" s="16"/>
    </row>
    <row r="74" spans="3:20" x14ac:dyDescent="0.25">
      <c r="C74" s="16"/>
      <c r="N74" s="4" t="s">
        <v>15</v>
      </c>
      <c r="O74" s="9">
        <v>-1.1384146740885842E-5</v>
      </c>
      <c r="P74" s="2" t="s">
        <v>39</v>
      </c>
      <c r="Q74" s="1">
        <f>P63+R63*O74-R60*O75</f>
        <v>-6.9449887160621948E-10</v>
      </c>
      <c r="S74" s="16"/>
      <c r="T74" s="16"/>
    </row>
    <row r="75" spans="3:20" x14ac:dyDescent="0.25">
      <c r="C75" s="16"/>
      <c r="N75" s="4" t="s">
        <v>16</v>
      </c>
      <c r="O75" s="9">
        <v>-4.4335425120957414E-5</v>
      </c>
      <c r="P75" s="2" t="s">
        <v>40</v>
      </c>
      <c r="Q75" s="1">
        <f>P71+R71*O75-R70*O74</f>
        <v>6.0349931562536652E-10</v>
      </c>
      <c r="S75" s="16"/>
      <c r="T75" s="16"/>
    </row>
    <row r="76" spans="3:20" x14ac:dyDescent="0.25">
      <c r="C76" s="16"/>
      <c r="N76" s="1"/>
      <c r="O76" s="1"/>
      <c r="P76" s="1"/>
      <c r="Q76" s="1"/>
      <c r="S76" s="16"/>
      <c r="T76" s="16"/>
    </row>
    <row r="77" spans="3:20" x14ac:dyDescent="0.25">
      <c r="C77" s="16"/>
      <c r="N77" s="1"/>
      <c r="O77" s="1"/>
      <c r="P77" s="4" t="s">
        <v>14</v>
      </c>
      <c r="Q77" s="9">
        <f>Q74^2+Q75^2</f>
        <v>8.4654010662259788E-19</v>
      </c>
      <c r="S77" s="16"/>
      <c r="T77" s="16"/>
    </row>
    <row r="78" spans="3:20" s="22" customFormat="1" x14ac:dyDescent="0.25">
      <c r="N78" s="25"/>
      <c r="O78" s="26"/>
      <c r="P78" s="27"/>
      <c r="Q78" s="24"/>
      <c r="R78" s="24"/>
    </row>
    <row r="79" spans="3:20" s="22" customFormat="1" x14ac:dyDescent="0.25">
      <c r="N79" s="24"/>
      <c r="O79" s="24"/>
      <c r="P79" s="24"/>
      <c r="Q79" s="24"/>
      <c r="R79" s="24"/>
    </row>
    <row r="80" spans="3:20" s="22" customFormat="1" x14ac:dyDescent="0.25">
      <c r="N80" s="24"/>
      <c r="O80" s="24"/>
      <c r="P80" s="25"/>
      <c r="Q80" s="26"/>
      <c r="R80" s="24"/>
    </row>
    <row r="81" spans="1:20" x14ac:dyDescent="0.25">
      <c r="C81" s="16"/>
      <c r="I81" s="16"/>
      <c r="J81" s="16"/>
      <c r="L81" s="21">
        <f>L55+O74</f>
        <v>-1.4778090191760339E-3</v>
      </c>
      <c r="M81" s="21"/>
      <c r="N81" s="20"/>
      <c r="O81" s="16"/>
      <c r="S81" s="16"/>
      <c r="T81" s="16"/>
    </row>
    <row r="82" spans="1:20" x14ac:dyDescent="0.25">
      <c r="C82" s="16"/>
      <c r="I82" s="16"/>
      <c r="J82" s="16"/>
      <c r="L82" s="21">
        <f>L56+O75</f>
        <v>-7.224851001909529E-3</v>
      </c>
      <c r="M82" s="21"/>
      <c r="N82" s="20"/>
      <c r="O82" s="16"/>
      <c r="S82" s="16"/>
      <c r="T82" s="16"/>
    </row>
    <row r="83" spans="1:20" x14ac:dyDescent="0.25">
      <c r="A83" s="2" t="s">
        <v>31</v>
      </c>
      <c r="C83" s="16"/>
      <c r="D83" s="28" t="s">
        <v>19</v>
      </c>
      <c r="E83" s="28"/>
      <c r="P83" s="31" t="s">
        <v>22</v>
      </c>
      <c r="Q83" s="31"/>
      <c r="S83" s="16"/>
      <c r="T83" s="16"/>
    </row>
    <row r="84" spans="1:20" x14ac:dyDescent="0.25">
      <c r="C84" s="11" t="s">
        <v>21</v>
      </c>
      <c r="D84" s="10" t="s">
        <v>4</v>
      </c>
      <c r="E84" s="10" t="s">
        <v>5</v>
      </c>
      <c r="F84" s="2" t="s">
        <v>6</v>
      </c>
      <c r="G84" s="2" t="s">
        <v>7</v>
      </c>
      <c r="H84" s="2" t="s">
        <v>8</v>
      </c>
      <c r="I84" s="2" t="s">
        <v>9</v>
      </c>
      <c r="J84" s="2" t="s">
        <v>0</v>
      </c>
      <c r="K84" s="2"/>
      <c r="L84" s="2"/>
      <c r="M84" s="2"/>
      <c r="N84" s="2" t="s">
        <v>1</v>
      </c>
      <c r="O84" s="2" t="s">
        <v>12</v>
      </c>
      <c r="P84" s="12" t="s">
        <v>28</v>
      </c>
      <c r="Q84" s="12" t="s">
        <v>6</v>
      </c>
      <c r="R84" s="2" t="s">
        <v>37</v>
      </c>
      <c r="S84" s="16"/>
      <c r="T84" s="16"/>
    </row>
    <row r="85" spans="1:20" x14ac:dyDescent="0.25">
      <c r="C85" s="11">
        <v>12</v>
      </c>
      <c r="D85" s="11">
        <v>100</v>
      </c>
      <c r="E85" s="11">
        <v>0.14099999999999999</v>
      </c>
      <c r="F85" s="1">
        <v>17</v>
      </c>
      <c r="G85" s="1">
        <f>F85/1000</f>
        <v>1.7000000000000001E-2</v>
      </c>
      <c r="H85" s="1">
        <f>G85+L81</f>
        <v>1.5522190980823967E-2</v>
      </c>
      <c r="I85" s="1">
        <f>ABS(4*G85/PI()/E85^2)</f>
        <v>1.0887315658416463</v>
      </c>
      <c r="J85" s="1">
        <f>I85*E85/$C$2</f>
        <v>153511.15078367211</v>
      </c>
      <c r="K85" s="1">
        <f>5.74/J85^0.9</f>
        <v>1.2342011813537231E-4</v>
      </c>
      <c r="L85" s="1">
        <f>$C$3/E85/3.7</f>
        <v>1.9168104274487255E-4</v>
      </c>
      <c r="M85" s="1">
        <f>LOG10(K85+L85)</f>
        <v>-3.5015499968166197</v>
      </c>
      <c r="N85" s="1">
        <f>0.25/M85^2</f>
        <v>2.0390099501042199E-2</v>
      </c>
      <c r="O85" s="1">
        <f>8*N85*D85/9.81/PI()^2/E85^5</f>
        <v>3023.0478125050395</v>
      </c>
      <c r="P85" s="13">
        <f>O85*H85*ABS(H85)</f>
        <v>0.72836834190003608</v>
      </c>
      <c r="Q85" s="14">
        <f>H85*1000</f>
        <v>15.522190980823968</v>
      </c>
      <c r="R85" s="1">
        <f>2*P85/H85</f>
        <v>93.848650979730692</v>
      </c>
      <c r="S85" s="16"/>
      <c r="T85" s="16"/>
    </row>
    <row r="86" spans="1:20" x14ac:dyDescent="0.25">
      <c r="C86" s="11">
        <v>25</v>
      </c>
      <c r="D86" s="11">
        <v>120</v>
      </c>
      <c r="E86" s="11">
        <v>0.1234</v>
      </c>
      <c r="F86" s="1">
        <v>10</v>
      </c>
      <c r="G86" s="1">
        <f t="shared" ref="G86:G88" si="36">F86/1000</f>
        <v>0.01</v>
      </c>
      <c r="H86" s="1">
        <f>G86+L81-L82</f>
        <v>1.5747041982733495E-2</v>
      </c>
      <c r="I86" s="1">
        <f t="shared" ref="I86:I88" si="37">ABS(4*G86/PI()/E86^2)</f>
        <v>0.83614153858869245</v>
      </c>
      <c r="J86" s="1">
        <f>I86*E86/$C$2</f>
        <v>103179.86586184465</v>
      </c>
      <c r="K86" s="1">
        <f>5.74/J86^0.9</f>
        <v>1.7647225261136875E-4</v>
      </c>
      <c r="L86" s="1">
        <f>$C$3/E86/3.7</f>
        <v>2.1901966796618338E-4</v>
      </c>
      <c r="M86" s="1">
        <f t="shared" ref="M86:M88" si="38">LOG10(K86+L86)</f>
        <v>-3.4028623841876109</v>
      </c>
      <c r="N86" s="1">
        <f>0.25/M86^2</f>
        <v>2.1589930114305326E-2</v>
      </c>
      <c r="O86" s="1">
        <f>8*N86*D86/9.81/PI()^2/E86^5</f>
        <v>7481.3146085462522</v>
      </c>
      <c r="P86" s="13">
        <f t="shared" ref="P86:P88" si="39">O86*H86*ABS(H86)</f>
        <v>1.8551365800226767</v>
      </c>
      <c r="Q86" s="14">
        <f t="shared" ref="Q86:Q88" si="40">H86*1000</f>
        <v>15.747041982733496</v>
      </c>
      <c r="R86" s="1">
        <f t="shared" ref="R86:R88" si="41">2*P86/H86</f>
        <v>235.61715045363047</v>
      </c>
      <c r="S86" s="16"/>
      <c r="T86" s="16"/>
    </row>
    <row r="87" spans="1:20" x14ac:dyDescent="0.25">
      <c r="C87" s="11">
        <v>56</v>
      </c>
      <c r="D87" s="11">
        <v>150</v>
      </c>
      <c r="E87" s="11">
        <v>0.1234</v>
      </c>
      <c r="F87" s="1">
        <f>-11</f>
        <v>-11</v>
      </c>
      <c r="G87" s="1">
        <f t="shared" si="36"/>
        <v>-1.0999999999999999E-2</v>
      </c>
      <c r="H87" s="1">
        <f>G87+L81</f>
        <v>-1.2477809019176033E-2</v>
      </c>
      <c r="I87" s="1">
        <f t="shared" si="37"/>
        <v>0.9197556924475615</v>
      </c>
      <c r="J87" s="1">
        <f>I87*E87/$C$2</f>
        <v>113497.85244802909</v>
      </c>
      <c r="K87" s="1">
        <f>5.74/J87^0.9</f>
        <v>1.6196568522393215E-4</v>
      </c>
      <c r="L87" s="1">
        <f>$C$3/E87/3.7</f>
        <v>2.1901966796618338E-4</v>
      </c>
      <c r="M87" s="1">
        <f t="shared" si="38"/>
        <v>-3.419091720258717</v>
      </c>
      <c r="N87" s="1">
        <f>0.25/M87^2</f>
        <v>2.1385455555017013E-2</v>
      </c>
      <c r="O87" s="1">
        <f>8*N87*D87/9.81/PI()^2/E87^5</f>
        <v>9263.0754365061784</v>
      </c>
      <c r="P87" s="13">
        <f t="shared" si="39"/>
        <v>-1.4422211802249687</v>
      </c>
      <c r="Q87" s="14">
        <f t="shared" si="40"/>
        <v>-12.477809019176034</v>
      </c>
      <c r="R87" s="1">
        <f t="shared" si="41"/>
        <v>231.16577245388953</v>
      </c>
      <c r="S87" s="16"/>
      <c r="T87" s="16"/>
    </row>
    <row r="88" spans="1:20" x14ac:dyDescent="0.25">
      <c r="C88" s="11">
        <v>61</v>
      </c>
      <c r="D88" s="11">
        <v>100</v>
      </c>
      <c r="E88" s="11">
        <v>0.14099999999999999</v>
      </c>
      <c r="F88" s="1">
        <f>-18</f>
        <v>-18</v>
      </c>
      <c r="G88" s="1">
        <f t="shared" si="36"/>
        <v>-1.7999999999999999E-2</v>
      </c>
      <c r="H88" s="1">
        <f>G88+L81</f>
        <v>-1.9477809019176031E-2</v>
      </c>
      <c r="I88" s="1">
        <f t="shared" si="37"/>
        <v>1.1527745991264491</v>
      </c>
      <c r="J88" s="1">
        <f>I88*E88/$C$2</f>
        <v>162541.21847682932</v>
      </c>
      <c r="K88" s="1">
        <f>5.74/J88^0.9</f>
        <v>1.1723161081392932E-4</v>
      </c>
      <c r="L88" s="1">
        <f>$C$3/E88/3.7</f>
        <v>1.9168104274487255E-4</v>
      </c>
      <c r="M88" s="1">
        <f t="shared" si="38"/>
        <v>-3.5101643019341826</v>
      </c>
      <c r="N88" s="1">
        <f>0.25/M88^2</f>
        <v>2.0290143489852117E-2</v>
      </c>
      <c r="O88" s="1">
        <f>8*N88*D88/9.81/PI()^2/E88^5</f>
        <v>3008.2282771241826</v>
      </c>
      <c r="P88" s="13">
        <f t="shared" si="39"/>
        <v>-1.1412768178428303</v>
      </c>
      <c r="Q88" s="14">
        <f t="shared" si="40"/>
        <v>-19.477809019176032</v>
      </c>
      <c r="R88" s="1">
        <f t="shared" si="41"/>
        <v>117.18739173581955</v>
      </c>
    </row>
    <row r="89" spans="1:20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2" t="s">
        <v>13</v>
      </c>
      <c r="P89" s="15">
        <f>SUM(P85:P88)</f>
        <v>6.923854913853944E-6</v>
      </c>
      <c r="Q89" s="2" t="s">
        <v>38</v>
      </c>
      <c r="R89" s="15">
        <f>SUM(R85:R88)</f>
        <v>677.8189656230702</v>
      </c>
    </row>
    <row r="91" spans="1:20" x14ac:dyDescent="0.25">
      <c r="C91" s="1"/>
      <c r="D91" s="28" t="s">
        <v>19</v>
      </c>
      <c r="E91" s="28"/>
      <c r="F91" s="1"/>
      <c r="G91" s="1"/>
      <c r="H91" s="1"/>
      <c r="I91" s="1"/>
      <c r="J91" s="1"/>
      <c r="K91" s="1"/>
      <c r="L91" s="1"/>
      <c r="M91" s="1"/>
      <c r="N91" s="1"/>
      <c r="O91" s="1"/>
      <c r="P91" s="31" t="s">
        <v>22</v>
      </c>
      <c r="Q91" s="31"/>
    </row>
    <row r="92" spans="1:20" x14ac:dyDescent="0.25">
      <c r="C92" s="11" t="s">
        <v>21</v>
      </c>
      <c r="D92" s="10" t="s">
        <v>4</v>
      </c>
      <c r="E92" s="10" t="s">
        <v>5</v>
      </c>
      <c r="F92" s="2" t="s">
        <v>6</v>
      </c>
      <c r="G92" s="2" t="s">
        <v>7</v>
      </c>
      <c r="H92" s="2" t="s">
        <v>8</v>
      </c>
      <c r="I92" s="2" t="s">
        <v>9</v>
      </c>
      <c r="J92" s="2" t="s">
        <v>0</v>
      </c>
      <c r="K92" s="2"/>
      <c r="L92" s="2"/>
      <c r="M92" s="2"/>
      <c r="N92" s="2" t="s">
        <v>1</v>
      </c>
      <c r="O92" s="2" t="s">
        <v>12</v>
      </c>
      <c r="P92" s="12" t="s">
        <v>28</v>
      </c>
      <c r="Q92" s="12" t="s">
        <v>6</v>
      </c>
      <c r="R92" s="2" t="s">
        <v>37</v>
      </c>
    </row>
    <row r="93" spans="1:20" x14ac:dyDescent="0.25">
      <c r="C93" s="11">
        <v>23</v>
      </c>
      <c r="D93" s="11">
        <v>300</v>
      </c>
      <c r="E93" s="11">
        <v>0.14099999999999999</v>
      </c>
      <c r="F93" s="1">
        <v>14</v>
      </c>
      <c r="G93" s="1">
        <f>F93/1000</f>
        <v>1.4E-2</v>
      </c>
      <c r="H93" s="1">
        <f>G93+L82</f>
        <v>6.7751489980904713E-3</v>
      </c>
      <c r="I93" s="1">
        <f>ABS(4*G93/PI()/E93^2)</f>
        <v>0.89660246598723814</v>
      </c>
      <c r="J93" s="1">
        <f>I93*E93/$C$2</f>
        <v>126420.94770420057</v>
      </c>
      <c r="K93" s="1">
        <f>5.74/J93^0.9</f>
        <v>1.4698558828147497E-4</v>
      </c>
      <c r="L93" s="1">
        <f>$C$3/E93/3.7</f>
        <v>1.9168104274487255E-4</v>
      </c>
      <c r="M93" s="1">
        <f>LOG10(K93+L93)</f>
        <v>-3.4702275924756836</v>
      </c>
      <c r="N93" s="1">
        <f>0.25/M93^2</f>
        <v>2.0759844274204055E-2</v>
      </c>
      <c r="O93" s="1">
        <f>8*N93*D93/9.81/PI()^2/E93^5</f>
        <v>9233.5991520595708</v>
      </c>
      <c r="P93" s="13">
        <f>O93*H93*ABS(H93)</f>
        <v>0.42384661422009107</v>
      </c>
      <c r="Q93" s="14">
        <f>H93*1000</f>
        <v>6.7751489980904713</v>
      </c>
      <c r="R93" s="1">
        <f>2*P93/H93</f>
        <v>125.11802008769085</v>
      </c>
    </row>
    <row r="94" spans="1:20" x14ac:dyDescent="0.25">
      <c r="C94" s="11">
        <v>34</v>
      </c>
      <c r="D94" s="11">
        <v>100</v>
      </c>
      <c r="E94" s="11">
        <v>0.17599999999999999</v>
      </c>
      <c r="F94" s="1">
        <v>40</v>
      </c>
      <c r="G94" s="1">
        <f t="shared" ref="G94:G96" si="42">F94/1000</f>
        <v>0.04</v>
      </c>
      <c r="H94" s="1">
        <f>G94+L82</f>
        <v>3.2775148998090475E-2</v>
      </c>
      <c r="I94" s="1">
        <f t="shared" ref="I94:I96" si="43">ABS(4*G94/PI()/E94^2)</f>
        <v>1.644162635246853</v>
      </c>
      <c r="J94" s="1">
        <f>I94*E94/$C$2</f>
        <v>289372.62380344613</v>
      </c>
      <c r="K94" s="1">
        <f>5.74/J94^0.9</f>
        <v>6.9758991669426892E-5</v>
      </c>
      <c r="L94" s="1">
        <f>$C$3/E94/3.7</f>
        <v>1.5356265356265359E-4</v>
      </c>
      <c r="M94" s="1">
        <f t="shared" ref="M94:M96" si="44">LOG10(K94+L94)</f>
        <v>-3.6510691813205245</v>
      </c>
      <c r="N94" s="1">
        <f>0.25/M94^2</f>
        <v>1.8754257919661035E-2</v>
      </c>
      <c r="O94" s="1">
        <f>8*N94*D94/9.81/PI()^2/E94^5</f>
        <v>917.6092430301386</v>
      </c>
      <c r="P94" s="13">
        <f t="shared" ref="P94:P96" si="45">O94*H94*ABS(H94)</f>
        <v>0.98570538451786283</v>
      </c>
      <c r="Q94" s="14">
        <f t="shared" ref="Q94:Q96" si="46">H94*1000</f>
        <v>32.775148998090472</v>
      </c>
      <c r="R94" s="1">
        <f t="shared" ref="R94:R96" si="47">2*P94/H94</f>
        <v>60.149559324675614</v>
      </c>
    </row>
    <row r="95" spans="1:20" x14ac:dyDescent="0.25">
      <c r="C95" s="11">
        <v>45</v>
      </c>
      <c r="D95" s="11">
        <v>100</v>
      </c>
      <c r="E95" s="11">
        <v>0.17599999999999999</v>
      </c>
      <c r="F95" s="1">
        <v>29</v>
      </c>
      <c r="G95" s="1">
        <f t="shared" si="42"/>
        <v>2.9000000000000001E-2</v>
      </c>
      <c r="H95" s="1">
        <f>G95+L82</f>
        <v>2.1775148998090472E-2</v>
      </c>
      <c r="I95" s="1">
        <f t="shared" si="43"/>
        <v>1.1920179105539686</v>
      </c>
      <c r="J95" s="1">
        <f>I95*E95/$C$2</f>
        <v>209795.15225749847</v>
      </c>
      <c r="K95" s="1">
        <f>5.74/J95^0.9</f>
        <v>9.317426779325617E-5</v>
      </c>
      <c r="L95" s="1">
        <f>$C$3/E95/3.7</f>
        <v>1.5356265356265359E-4</v>
      </c>
      <c r="M95" s="1">
        <f t="shared" si="44"/>
        <v>-3.6077658584495893</v>
      </c>
      <c r="N95" s="1">
        <f>0.25/M95^2</f>
        <v>1.9207167331474227E-2</v>
      </c>
      <c r="O95" s="1">
        <f>8*N95*D95/9.81/PI()^2/E95^5</f>
        <v>939.76921674466462</v>
      </c>
      <c r="P95" s="13">
        <f t="shared" si="45"/>
        <v>0.44559825953341436</v>
      </c>
      <c r="Q95" s="14">
        <f t="shared" si="46"/>
        <v>21.775148998090472</v>
      </c>
      <c r="R95" s="1">
        <f t="shared" si="47"/>
        <v>40.927229436867705</v>
      </c>
    </row>
    <row r="96" spans="1:20" x14ac:dyDescent="0.25">
      <c r="C96" s="11">
        <v>25</v>
      </c>
      <c r="D96" s="11">
        <v>120</v>
      </c>
      <c r="E96" s="11">
        <v>0.1234</v>
      </c>
      <c r="F96" s="1">
        <f>-10</f>
        <v>-10</v>
      </c>
      <c r="G96" s="1">
        <f t="shared" si="42"/>
        <v>-0.01</v>
      </c>
      <c r="H96" s="1">
        <f>G96+L82-L81</f>
        <v>-1.5747041982733495E-2</v>
      </c>
      <c r="I96" s="1">
        <f t="shared" si="43"/>
        <v>0.83614153858869245</v>
      </c>
      <c r="J96" s="1">
        <f>I96*E96/$C$2</f>
        <v>103179.86586184465</v>
      </c>
      <c r="K96" s="1">
        <f>5.74/J96^0.9</f>
        <v>1.7647225261136875E-4</v>
      </c>
      <c r="L96" s="1">
        <f>$C$3/E96/3.7</f>
        <v>2.1901966796618338E-4</v>
      </c>
      <c r="M96" s="1">
        <f t="shared" si="44"/>
        <v>-3.4028623841876109</v>
      </c>
      <c r="N96" s="1">
        <f>0.25/M96^2</f>
        <v>2.1589930114305326E-2</v>
      </c>
      <c r="O96" s="1">
        <f>8*N96*D96/9.81/PI()^2/E96^5</f>
        <v>7481.3146085462522</v>
      </c>
      <c r="P96" s="13">
        <f t="shared" si="45"/>
        <v>-1.8551365800226767</v>
      </c>
      <c r="Q96" s="14">
        <f t="shared" si="46"/>
        <v>-15.747041982733496</v>
      </c>
      <c r="R96" s="1">
        <f t="shared" si="47"/>
        <v>235.61715045363047</v>
      </c>
    </row>
    <row r="97" spans="4:19" x14ac:dyDescent="0.25"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2" t="s">
        <v>13</v>
      </c>
      <c r="P97" s="1">
        <f>SUM(P93:P96)</f>
        <v>1.3678248691695316E-5</v>
      </c>
      <c r="Q97" s="2" t="s">
        <v>38</v>
      </c>
      <c r="R97" s="15">
        <f>SUM(R93:R96)</f>
        <v>461.81195930286464</v>
      </c>
    </row>
    <row r="98" spans="4:19" x14ac:dyDescent="0.25">
      <c r="D98" s="1"/>
      <c r="E98" s="1"/>
      <c r="F98" s="1"/>
      <c r="G98" s="1"/>
      <c r="H98" s="1"/>
      <c r="I98" s="1"/>
      <c r="J98" s="1"/>
      <c r="K98" s="1"/>
      <c r="L98" s="1"/>
      <c r="M98" s="15"/>
      <c r="N98" s="15"/>
      <c r="O98" s="23"/>
      <c r="P98" s="23"/>
      <c r="Q98" s="16"/>
      <c r="R98" s="15"/>
      <c r="S98" s="16"/>
    </row>
    <row r="99" spans="4:19" x14ac:dyDescent="0.25">
      <c r="D99" s="1"/>
      <c r="E99" s="1"/>
      <c r="F99" s="1"/>
      <c r="G99" s="1"/>
      <c r="H99" s="1"/>
      <c r="I99" s="1"/>
      <c r="J99" s="1"/>
      <c r="K99" s="1"/>
      <c r="L99" s="1"/>
      <c r="M99" s="15"/>
      <c r="N99" s="32"/>
      <c r="O99" s="32"/>
      <c r="P99" s="16"/>
      <c r="Q99" s="16"/>
      <c r="R99" s="15"/>
      <c r="S99" s="16"/>
    </row>
    <row r="100" spans="4:19" x14ac:dyDescent="0.25">
      <c r="M100" s="16"/>
      <c r="N100" s="21"/>
      <c r="O100" s="23"/>
      <c r="P100" s="19"/>
      <c r="Q100" s="15"/>
      <c r="R100" s="15"/>
      <c r="S100" s="16"/>
    </row>
    <row r="101" spans="4:19" x14ac:dyDescent="0.25">
      <c r="M101" s="16"/>
      <c r="N101" s="21"/>
      <c r="O101" s="23"/>
      <c r="P101" s="19"/>
      <c r="Q101" s="15"/>
      <c r="R101" s="15"/>
      <c r="S101" s="16"/>
    </row>
    <row r="102" spans="4:19" x14ac:dyDescent="0.25">
      <c r="M102" s="16"/>
      <c r="N102" s="15"/>
      <c r="O102" s="15"/>
      <c r="P102" s="15"/>
      <c r="Q102" s="15"/>
      <c r="R102" s="15"/>
      <c r="S102" s="16"/>
    </row>
    <row r="103" spans="4:19" x14ac:dyDescent="0.25">
      <c r="M103" s="16"/>
      <c r="N103" s="15"/>
      <c r="O103" s="15"/>
      <c r="P103" s="21"/>
      <c r="Q103" s="23"/>
      <c r="R103" s="15"/>
      <c r="S103" s="16"/>
    </row>
    <row r="104" spans="4:19" x14ac:dyDescent="0.25">
      <c r="M104" s="16"/>
      <c r="N104" s="16"/>
      <c r="O104" s="16"/>
      <c r="P104" s="16"/>
      <c r="Q104" s="16"/>
      <c r="R104" s="15"/>
      <c r="S104" s="16"/>
    </row>
    <row r="105" spans="4:19" x14ac:dyDescent="0.25">
      <c r="M105" s="16"/>
      <c r="N105" s="16"/>
      <c r="O105" s="16"/>
      <c r="P105" s="16"/>
      <c r="Q105" s="16"/>
      <c r="R105" s="15"/>
      <c r="S105" s="16"/>
    </row>
    <row r="106" spans="4:19" x14ac:dyDescent="0.25">
      <c r="M106" s="16"/>
      <c r="N106" s="16"/>
      <c r="O106" s="16"/>
      <c r="P106" s="16"/>
      <c r="Q106" s="16"/>
      <c r="R106" s="15"/>
      <c r="S106" s="16"/>
    </row>
    <row r="107" spans="4:19" x14ac:dyDescent="0.25">
      <c r="M107" s="16"/>
      <c r="N107" s="16"/>
      <c r="O107" s="16"/>
      <c r="P107" s="16"/>
      <c r="Q107" s="16"/>
      <c r="R107" s="15"/>
      <c r="S107" s="16"/>
    </row>
  </sheetData>
  <mergeCells count="22">
    <mergeCell ref="B1:C1"/>
    <mergeCell ref="K2:L2"/>
    <mergeCell ref="D5:E5"/>
    <mergeCell ref="P5:Q5"/>
    <mergeCell ref="D13:E13"/>
    <mergeCell ref="P13:Q13"/>
    <mergeCell ref="D31:E31"/>
    <mergeCell ref="P31:Q31"/>
    <mergeCell ref="D39:E39"/>
    <mergeCell ref="P39:Q39"/>
    <mergeCell ref="N21:O21"/>
    <mergeCell ref="N73:O73"/>
    <mergeCell ref="N47:O47"/>
    <mergeCell ref="D57:E57"/>
    <mergeCell ref="P57:Q57"/>
    <mergeCell ref="D65:E65"/>
    <mergeCell ref="P65:Q65"/>
    <mergeCell ref="N99:O99"/>
    <mergeCell ref="D83:E83"/>
    <mergeCell ref="P83:Q83"/>
    <mergeCell ref="D91:E91"/>
    <mergeCell ref="P91:Q9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DSMT4" shapeId="3073" r:id="rId3">
          <objectPr defaultSize="0" autoPict="0" r:id="rId4">
            <anchor moveWithCells="1" sizeWithCells="1">
              <from>
                <xdr:col>19</xdr:col>
                <xdr:colOff>361950</xdr:colOff>
                <xdr:row>21</xdr:row>
                <xdr:rowOff>76200</xdr:rowOff>
              </from>
              <to>
                <xdr:col>29</xdr:col>
                <xdr:colOff>190500</xdr:colOff>
                <xdr:row>25</xdr:row>
                <xdr:rowOff>9525</xdr:rowOff>
              </to>
            </anchor>
          </objectPr>
        </oleObject>
      </mc:Choice>
      <mc:Fallback>
        <oleObject progId="Equation.DSMT4" shapeId="3073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1-loop</vt:lpstr>
      <vt:lpstr>2-loop</vt:lpstr>
      <vt:lpstr>2-loop (1-real+1-pseudo)</vt:lpstr>
      <vt:lpstr>2-loop-by iterations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abc</dc:creator>
  <cp:lastModifiedBy>abc</cp:lastModifiedBy>
  <dcterms:created xsi:type="dcterms:W3CDTF">2016-11-20T12:52:51Z</dcterms:created>
  <dcterms:modified xsi:type="dcterms:W3CDTF">2016-11-30T21:19:15Z</dcterms:modified>
</cp:coreProperties>
</file>